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2018" sheetId="1" state="hidden" r:id="rId1"/>
    <sheet name="202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'2018'!$A$1:$P$94</definedName>
    <definedName name="_xlnm.Print_Area" localSheetId="1">'2021'!$A$1:$P$94</definedName>
  </definedNames>
  <calcPr fullCalcOnLoad="1"/>
</workbook>
</file>

<file path=xl/comments1.xml><?xml version="1.0" encoding="utf-8"?>
<comments xmlns="http://schemas.openxmlformats.org/spreadsheetml/2006/main">
  <authors>
    <author>g.ilyuschenko</author>
  </authors>
  <commentList>
    <comment ref="H82" authorId="0">
      <text>
        <r>
          <rPr>
            <b/>
            <sz val="9"/>
            <rFont val="Tahoma"/>
            <family val="2"/>
          </rPr>
          <t>g.ilyuschenko:</t>
        </r>
        <r>
          <rPr>
            <sz val="9"/>
            <rFont val="Tahoma"/>
            <family val="2"/>
          </rPr>
          <t xml:space="preserve">
Дз на конец счет 01.01 минус Кз на конец счет 02.01 
В греппу из списка Электросетьсервис</t>
        </r>
      </text>
    </comment>
  </commentList>
</comments>
</file>

<file path=xl/sharedStrings.xml><?xml version="1.0" encoding="utf-8"?>
<sst xmlns="http://schemas.openxmlformats.org/spreadsheetml/2006/main" count="526" uniqueCount="147">
  <si>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</si>
  <si>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</si>
  <si>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</si>
  <si>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</si>
  <si>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</si>
  <si>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</si>
  <si>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</si>
  <si>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</si>
  <si>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</si>
  <si>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</si>
  <si>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</si>
  <si>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</si>
  <si>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</si>
  <si>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</si>
  <si>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</si>
  <si>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</si>
  <si>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</si>
  <si>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</si>
  <si>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</si>
  <si>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</si>
  <si>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</si>
  <si>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</si>
  <si>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</si>
  <si>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</si>
  <si>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</si>
  <si>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</si>
  <si>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</si>
  <si>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</si>
  <si>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</si>
  <si>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</si>
  <si>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</si>
  <si>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</si>
  <si>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</si>
  <si>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</si>
  <si>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</si>
  <si>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</si>
  <si>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</si>
  <si>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</si>
  <si>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</si>
  <si>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</si>
  <si>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</si>
  <si>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</si>
  <si>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</si>
  <si>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</si>
  <si>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</si>
  <si>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</si>
  <si>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</si>
  <si>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</si>
  <si>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</si>
  <si>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</si>
  <si>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</si>
  <si>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</si>
  <si>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</si>
  <si>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</si>
  <si>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</si>
  <si>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</si>
  <si>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</si>
  <si>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</si>
  <si>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</si>
  <si>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</si>
  <si>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</si>
  <si>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</si>
  <si>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</si>
  <si>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</si>
  <si>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</si>
  <si>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</si>
  <si>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</si>
  <si>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</si>
  <si>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</si>
  <si>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</si>
  <si>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</si>
  <si>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</si>
  <si>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</si>
  <si>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</si>
  <si>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</si>
  <si>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</si>
  <si>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</si>
  <si>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</si>
  <si>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</si>
  <si>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</si>
  <si>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</si>
  <si>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</si>
  <si>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</si>
  <si>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</si>
  <si>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</si>
  <si>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</si>
  <si>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</si>
  <si>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</si>
  <si>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</si>
  <si>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</si>
  <si>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</si>
  <si>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</si>
  <si>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</si>
  <si>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</si>
  <si>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</si>
  <si>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</si>
  <si>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</si>
  <si>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</si>
  <si>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</si>
  <si>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</si>
  <si>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</si>
  <si>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</si>
  <si>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</si>
  <si>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</si>
  <si>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</si>
  <si>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</si>
  <si>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</si>
  <si>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</si>
  <si>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</si>
  <si>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</si>
  <si>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</si>
  <si>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</si>
  <si>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</si>
  <si>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</si>
  <si>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</si>
  <si>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</si>
  <si>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</si>
  <si>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</si>
  <si>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</si>
  <si>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</si>
  <si>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</si>
  <si>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</si>
  <si>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</si>
  <si>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</si>
  <si>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</si>
  <si>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</si>
  <si>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АО "Амурские коммунальные системы"</t>
  </si>
  <si>
    <t>г.Благовещенск, ул.Мухина,73</t>
  </si>
  <si>
    <t>Амурская область</t>
  </si>
  <si>
    <t>2801091892</t>
  </si>
  <si>
    <t>Передача
по распредели-тельным сетям</t>
  </si>
  <si>
    <t>Техноло-гическое присоединение</t>
  </si>
  <si>
    <t>По состоянию на конец отчетного периода,
всего по предприятию</t>
  </si>
  <si>
    <t>Передача
по распределительным сетям</t>
  </si>
  <si>
    <t>Передача
и технологиче-кое присоеди-нение</t>
  </si>
  <si>
    <t>Прочие виды деятельности</t>
  </si>
  <si>
    <t>Передача
и технологичес-кое присоединение</t>
  </si>
  <si>
    <t>Технологическое присоединение</t>
  </si>
  <si>
    <t>Передача
и технологическое присоединение</t>
  </si>
  <si>
    <t>Директор по экономике и финансам</t>
  </si>
  <si>
    <t>Главный управляющие директор</t>
  </si>
  <si>
    <t>Куликовский К.А.</t>
  </si>
  <si>
    <t>Колмогорова М.А.</t>
  </si>
  <si>
    <t>2018 год</t>
  </si>
  <si>
    <t>Общество с ограниченной отвественностью "Амурские коммунальные системы"</t>
  </si>
  <si>
    <t>2801254956</t>
  </si>
  <si>
    <t>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</si>
</sst>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\ _₽_-;\-* #,##0.000\ _₽_-;_-* &quot;-&quot;??\ _₽_-;_-@_-"/>
    <numFmt numFmtId="187" formatCode="_-* #,##0.0000\ _₽_-;\-* #,##0.0000\ _₽_-;_-* &quot;-&quot;??\ _₽_-;_-@_-"/>
    <numFmt numFmtId="188" formatCode="_-* #,##0.00000\ _₽_-;\-* #,##0.00000\ _₽_-;_-* &quot;-&quot;??\ _₽_-;_-@_-"/>
  </numFmts>
  <fonts count="5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36"/>
      <name val="Times New Roman"/>
      <family val="1"/>
    </font>
    <font>
      <sz val="6"/>
      <color indexed="30"/>
      <name val="Times New Roman"/>
      <family val="1"/>
    </font>
    <font>
      <b/>
      <sz val="6"/>
      <color indexed="3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7030A0"/>
      <name val="Times New Roman"/>
      <family val="1"/>
    </font>
    <font>
      <sz val="6"/>
      <color rgb="FF0070C0"/>
      <name val="Times New Roman"/>
      <family val="1"/>
    </font>
    <font>
      <b/>
      <sz val="6"/>
      <color rgb="FF0070C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3"/>
    </xf>
    <xf numFmtId="0" fontId="3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left" vertical="center"/>
    </xf>
    <xf numFmtId="171" fontId="3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176" fontId="50" fillId="0" borderId="10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2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left"/>
    </xf>
    <xf numFmtId="171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176" fontId="50" fillId="33" borderId="10" xfId="0" applyNumberFormat="1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2"/>
    </xf>
    <xf numFmtId="176" fontId="53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3"/>
    </xf>
    <xf numFmtId="176" fontId="3" fillId="33" borderId="12" xfId="0" applyNumberFormat="1" applyFont="1" applyFill="1" applyBorder="1" applyAlignment="1">
      <alignment horizontal="right" vertical="center"/>
    </xf>
    <xf numFmtId="171" fontId="53" fillId="0" borderId="12" xfId="0" applyNumberFormat="1" applyFont="1" applyBorder="1" applyAlignment="1">
      <alignment horizontal="right" vertical="center"/>
    </xf>
    <xf numFmtId="176" fontId="53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171" fontId="3" fillId="33" borderId="12" xfId="0" applyNumberFormat="1" applyFont="1" applyFill="1" applyBorder="1" applyAlignment="1">
      <alignment horizontal="right" vertical="center"/>
    </xf>
    <xf numFmtId="176" fontId="53" fillId="0" borderId="12" xfId="0" applyNumberFormat="1" applyFont="1" applyFill="1" applyBorder="1" applyAlignment="1">
      <alignment horizontal="right" vertical="center"/>
    </xf>
    <xf numFmtId="0" fontId="50" fillId="0" borderId="12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54" fillId="0" borderId="12" xfId="0" applyNumberFormat="1" applyFont="1" applyBorder="1" applyAlignment="1">
      <alignment horizontal="right" vertical="center"/>
    </xf>
    <xf numFmtId="0" fontId="50" fillId="0" borderId="12" xfId="0" applyNumberFormat="1" applyFont="1" applyBorder="1" applyAlignment="1">
      <alignment vertical="top" wrapText="1"/>
    </xf>
    <xf numFmtId="0" fontId="51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171" fontId="6" fillId="0" borderId="0" xfId="58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left"/>
    </xf>
    <xf numFmtId="171" fontId="3" fillId="0" borderId="0" xfId="58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left" wrapText="1" indent="2"/>
    </xf>
    <xf numFmtId="188" fontId="3" fillId="0" borderId="0" xfId="0" applyNumberFormat="1" applyFont="1" applyBorder="1" applyAlignment="1">
      <alignment horizontal="left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18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9&#1075;.%20&#1090;&#1072;&#1088;&#1080;&#1092;&#1099;\&#1069;&#1083;&#1077;&#1082;&#1090;&#1088;&#1086;\&#1057;&#1090;&#1072;&#1082;&#1074;&#1072;%20&#1058;&#1055;\&#1047;&#1072;&#1090;&#1088;&#1072;&#1090;&#1099;%20&#1087;&#1086;%20&#1058;&#1055;%20&#1079;&#1072;%20&#1087;&#1077;&#1088;&#1080;&#1086;&#1076;%202017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9&#1075;.%20&#1090;&#1072;&#1088;&#1080;&#1092;&#1099;\&#1069;&#1083;&#1077;&#1082;&#1090;&#1088;&#1086;\&#1056;&#1072;&#1089;&#1082;&#1088;&#1099;&#1090;&#1080;&#1077;%20&#1080;&#1085;&#1092;&#1086;&#1088;&#1084;&#1072;&#1094;&#1080;&#1080;\2018\&#1047;&#1072;&#1087;&#1088;&#1086;&#1089;%2024.09.2018\&#1040;&#1050;&#1057;_&#1060;&#1086;&#1088;&#1084;&#1072;%201.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44;&#1044;&#1057;,%20&#1041;&#1044;&#1056;%20&#1080;%20&#1055;&#1041;%202018%20&#1075;&#1086;&#1076;\2.%20&#1054;&#1090;&#1095;&#1077;&#1090;&#1085;&#1099;&#1077;%20&#1092;&#1086;&#1088;&#1084;&#1072;&#1090;&#1099;%20&#1045;&#1041;&#1055;%202018\&#1056;&#1057;&#1041;&#1059;\&#1040;&#1050;&#1057;_&#1056;&#1057;&#1041;&#1059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&#1075;.%20&#1090;&#1072;&#1088;&#1080;&#1092;&#1099;\&#1101;&#1083;&#1077;&#1082;&#1090;&#1088;&#1086;%202020-2024\&#1050;&#1072;&#1083;&#1100;&#1082;&#1091;&#1083;&#1103;&#1094;&#1080;&#1103;%20&#1087;&#1086;%20&#1087;&#1077;&#1088;&#1077;&#1076;&#1072;&#1095;&#1077;%20&#1069;&#1069;%20&#1085;&#1072;%202020-202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4;&#1072;&#1073;&#1083;&#1086;&#1085;&#1099;%20&#1076;&#1083;&#1103;%20&#1086;&#1090;&#1095;&#1077;&#1090;&#1086;&#1074;%20&#1087;&#1086;%20&#1045;&#1048;&#1040;&#1057;\2018\&#1042;&#1080;&#1085;&#1086;&#1075;&#1088;&#1072;&#1076;&#1086;&#1074;&#1072;\46EP.STX(v1.0)%20&#1075;&#1086;&#1076;%202018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7D6F~1.IGN\AppData\Local\Temp\notesFD42E6\&#1040;&#1050;&#1057;_&#1060;&#1086;&#1088;&#1084;&#1072;%201.3_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&#1075;.%20&#1090;&#1072;&#1088;&#1080;&#1092;&#1099;\&#1101;&#1083;&#1077;&#1082;&#1090;&#1088;&#1086;%202020-2024\&#1042;&#1089;&#1087;&#1086;&#1084;&#1086;&#1075;&#1072;&#1090;&#1077;&#1083;&#1100;&#1085;&#1099;&#1077;%20&#1090;&#1072;&#1073;&#1083;&#1080;&#1094;&#1099;%20&#1080;&#1079;%201&#1057;%20&#1076;&#1083;&#1103;%20&#1092;&#1072;&#1082;&#1090;&#1072;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&#1075;.%20&#1090;&#1072;&#1088;&#1080;&#1092;&#1099;\&#1101;&#1083;&#1077;&#1082;&#1090;&#1088;&#1086;%202020-2024\&#1060;&#1072;&#1082;&#1090;%202018&#1075;.%20&#1089;%20&#1087;&#1086;&#1103;&#1089;&#1085;&#1077;&#1085;&#1080;&#1103;&#1084;&#108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44;&#1044;&#1057;,%20&#1041;&#1044;&#1056;%20&#1080;%20&#1055;&#1041;%202018%20&#1075;&#1086;&#1076;\2.%20&#1054;&#1090;&#1095;&#1077;&#1090;&#1085;&#1099;&#1077;%20&#1092;&#1086;&#1088;&#1084;&#1072;&#1090;&#1099;%20&#1045;&#1041;&#1055;%202018\12.%20&#1044;&#1077;&#1082;&#1072;&#1073;&#1088;&#1100;%202018\&#1048;&#1089;&#1087;&#1086;&#1083;&#1085;&#1077;&#1085;&#1080;&#1077;%20&#1055;&#1055;%202018%20&#1075;.%20&#1057;&#1042;&#1054;&#1044;%2012%20&#1084;&#1077;&#1089;,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F74">
            <v>6015.38546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1">
          <cell r="D21">
            <v>3818107.1097800005</v>
          </cell>
          <cell r="E21">
            <v>0</v>
          </cell>
          <cell r="F21">
            <v>506729.62847</v>
          </cell>
          <cell r="G21">
            <v>9146.91693</v>
          </cell>
          <cell r="H21">
            <v>515876.54539999994</v>
          </cell>
          <cell r="I21">
            <v>3302230.5643800003</v>
          </cell>
        </row>
        <row r="23">
          <cell r="D23">
            <v>103764.65680999999</v>
          </cell>
          <cell r="F23">
            <v>22652.36967</v>
          </cell>
          <cell r="G23">
            <v>25.77901</v>
          </cell>
          <cell r="H23">
            <v>22678.14868</v>
          </cell>
          <cell r="I23">
            <v>81086.50812999999</v>
          </cell>
        </row>
        <row r="24">
          <cell r="D24">
            <v>279413.17435000004</v>
          </cell>
          <cell r="F24">
            <v>279413.17435000004</v>
          </cell>
          <cell r="H24">
            <v>279413.17435000004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D27">
            <v>67951.23675896596</v>
          </cell>
          <cell r="F27">
            <v>67951.23675896596</v>
          </cell>
          <cell r="H27">
            <v>67951.23675896596</v>
          </cell>
          <cell r="I27">
            <v>0</v>
          </cell>
        </row>
        <row r="28">
          <cell r="D28">
            <v>211461.93759103413</v>
          </cell>
          <cell r="F28">
            <v>211461.93759103413</v>
          </cell>
          <cell r="H28">
            <v>211461.93759103413</v>
          </cell>
          <cell r="I28">
            <v>0</v>
          </cell>
        </row>
        <row r="29">
          <cell r="D29">
            <v>145993.90042999998</v>
          </cell>
          <cell r="F29">
            <v>1502.80634</v>
          </cell>
          <cell r="H29">
            <v>1502.80634</v>
          </cell>
          <cell r="I29">
            <v>144491.09408999997</v>
          </cell>
        </row>
        <row r="31">
          <cell r="D31">
            <v>946.66161</v>
          </cell>
          <cell r="F31">
            <v>1.29539</v>
          </cell>
          <cell r="H31">
            <v>1.29539</v>
          </cell>
          <cell r="I31">
            <v>945.36622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D34">
            <v>24512.12693</v>
          </cell>
          <cell r="F34">
            <v>2264.8343800000002</v>
          </cell>
          <cell r="H34">
            <v>2264.8343800000002</v>
          </cell>
          <cell r="I34">
            <v>22247.29255</v>
          </cell>
        </row>
        <row r="36">
          <cell r="D36">
            <v>82360.63805</v>
          </cell>
          <cell r="F36">
            <v>14222.710560000001</v>
          </cell>
          <cell r="G36">
            <v>614.0893700000001</v>
          </cell>
          <cell r="H36">
            <v>14836.799930000001</v>
          </cell>
          <cell r="I36">
            <v>67523.83812</v>
          </cell>
        </row>
        <row r="37">
          <cell r="D37">
            <v>113268.35691999999</v>
          </cell>
          <cell r="F37">
            <v>23731.31658</v>
          </cell>
          <cell r="G37">
            <v>3321.40584</v>
          </cell>
          <cell r="H37">
            <v>27052.72242</v>
          </cell>
          <cell r="I37">
            <v>86215.63449999999</v>
          </cell>
        </row>
        <row r="38">
          <cell r="D38">
            <v>358333.94703000004</v>
          </cell>
          <cell r="F38">
            <v>45199.98092</v>
          </cell>
          <cell r="H38">
            <v>45199.98092</v>
          </cell>
          <cell r="I38">
            <v>313133.96611000004</v>
          </cell>
        </row>
        <row r="39">
          <cell r="D39">
            <v>1481.960238429052</v>
          </cell>
          <cell r="F39">
            <v>232.07</v>
          </cell>
          <cell r="G39">
            <v>16</v>
          </cell>
          <cell r="H39">
            <v>248.07</v>
          </cell>
          <cell r="I39">
            <v>1233.890238429052</v>
          </cell>
        </row>
        <row r="40">
          <cell r="D40">
            <v>172.7683333333333</v>
          </cell>
          <cell r="F40">
            <v>48.67</v>
          </cell>
          <cell r="G40">
            <v>1</v>
          </cell>
          <cell r="H40">
            <v>49.67</v>
          </cell>
          <cell r="I40">
            <v>123.09833333333329</v>
          </cell>
        </row>
        <row r="41">
          <cell r="D41">
            <v>290.425</v>
          </cell>
          <cell r="F41">
            <v>53.83</v>
          </cell>
          <cell r="G41">
            <v>6</v>
          </cell>
          <cell r="H41">
            <v>59.83</v>
          </cell>
          <cell r="I41">
            <v>230.59500000000003</v>
          </cell>
        </row>
        <row r="42">
          <cell r="D42">
            <v>1018.7669050957187</v>
          </cell>
          <cell r="F42">
            <v>129.57</v>
          </cell>
          <cell r="G42">
            <v>9</v>
          </cell>
          <cell r="H42">
            <v>138.57</v>
          </cell>
          <cell r="I42">
            <v>880.1969050957186</v>
          </cell>
        </row>
        <row r="43">
          <cell r="D43">
            <v>166270.17121</v>
          </cell>
          <cell r="F43">
            <v>24706.20199</v>
          </cell>
          <cell r="G43">
            <v>1164.6499900000001</v>
          </cell>
          <cell r="H43">
            <v>25870.851980000003</v>
          </cell>
          <cell r="I43">
            <v>140399.31923</v>
          </cell>
        </row>
        <row r="44">
          <cell r="D44">
            <v>96245.794</v>
          </cell>
          <cell r="F44">
            <v>27713.66396</v>
          </cell>
          <cell r="H44">
            <v>27713.66396</v>
          </cell>
          <cell r="I44">
            <v>68532.13003999999</v>
          </cell>
        </row>
        <row r="46">
          <cell r="D46">
            <v>119447.45104</v>
          </cell>
          <cell r="F46">
            <v>26799.40954</v>
          </cell>
          <cell r="H46">
            <v>26799.40954</v>
          </cell>
          <cell r="I46">
            <v>92648.04149999999</v>
          </cell>
        </row>
        <row r="47">
          <cell r="H47">
            <v>0</v>
          </cell>
          <cell r="I47">
            <v>0</v>
          </cell>
        </row>
        <row r="48">
          <cell r="D48">
            <v>19391.337059999998</v>
          </cell>
          <cell r="F48">
            <v>6897.44375</v>
          </cell>
          <cell r="H48">
            <v>6897.44375</v>
          </cell>
          <cell r="I48">
            <v>12493.893309999998</v>
          </cell>
        </row>
        <row r="49">
          <cell r="D49">
            <v>85272.40867</v>
          </cell>
          <cell r="F49">
            <v>8093.00996</v>
          </cell>
          <cell r="G49">
            <v>627.1633499999999</v>
          </cell>
          <cell r="H49">
            <v>8720.17331</v>
          </cell>
          <cell r="I49">
            <v>76552.23536</v>
          </cell>
        </row>
        <row r="50">
          <cell r="D50">
            <v>2222886.4856700003</v>
          </cell>
          <cell r="F50">
            <v>23531.41108</v>
          </cell>
          <cell r="G50">
            <v>3393.8293700000004</v>
          </cell>
          <cell r="H50">
            <v>26925.24045</v>
          </cell>
          <cell r="I50">
            <v>2195961.2452200004</v>
          </cell>
        </row>
        <row r="52">
          <cell r="H52">
            <v>0</v>
          </cell>
          <cell r="I52">
            <v>0</v>
          </cell>
        </row>
        <row r="53">
          <cell r="D53">
            <v>213698.8129</v>
          </cell>
          <cell r="F53">
            <v>24389.29334</v>
          </cell>
          <cell r="G53">
            <v>45669.540080000006</v>
          </cell>
          <cell r="H53">
            <v>70058.83342000001</v>
          </cell>
          <cell r="I53">
            <v>143639.97947999998</v>
          </cell>
        </row>
        <row r="54">
          <cell r="H54">
            <v>0</v>
          </cell>
          <cell r="I54">
            <v>0</v>
          </cell>
        </row>
        <row r="55">
          <cell r="D55">
            <v>5928.315930000001</v>
          </cell>
          <cell r="F55">
            <v>460.44932000000006</v>
          </cell>
          <cell r="G55">
            <v>7.85322</v>
          </cell>
          <cell r="H55">
            <v>468.3025400000001</v>
          </cell>
          <cell r="I55">
            <v>5460.013390000001</v>
          </cell>
        </row>
        <row r="56">
          <cell r="D56">
            <v>2782.30666</v>
          </cell>
          <cell r="F56">
            <v>608.69344</v>
          </cell>
          <cell r="G56">
            <v>14.41809</v>
          </cell>
          <cell r="H56">
            <v>623.11153</v>
          </cell>
          <cell r="I56">
            <v>2159.19513</v>
          </cell>
        </row>
        <row r="57">
          <cell r="D57">
            <v>61614.01500000001</v>
          </cell>
          <cell r="F57">
            <v>27064.84277599999</v>
          </cell>
          <cell r="G57">
            <v>1750.5888500000005</v>
          </cell>
          <cell r="H57">
            <v>28815.43162599999</v>
          </cell>
          <cell r="I57">
            <v>32798.583374000016</v>
          </cell>
        </row>
        <row r="60">
          <cell r="D60">
            <v>178014.93593</v>
          </cell>
          <cell r="F60">
            <v>22266.85759</v>
          </cell>
          <cell r="G60">
            <v>1636.3644700000002</v>
          </cell>
          <cell r="H60">
            <v>23903.22206</v>
          </cell>
          <cell r="I60">
            <v>154111.71387</v>
          </cell>
        </row>
        <row r="61">
          <cell r="H61">
            <v>0</v>
          </cell>
          <cell r="I61">
            <v>0</v>
          </cell>
        </row>
        <row r="63">
          <cell r="D63">
            <v>81925.56808</v>
          </cell>
          <cell r="F63">
            <v>13878.991539999999</v>
          </cell>
          <cell r="H63">
            <v>13878.991539999999</v>
          </cell>
          <cell r="I63">
            <v>68046.57654</v>
          </cell>
        </row>
        <row r="64">
          <cell r="D64">
            <v>108291.94144</v>
          </cell>
          <cell r="F64">
            <v>12056.24766</v>
          </cell>
          <cell r="H64">
            <v>12056.24766</v>
          </cell>
          <cell r="I64">
            <v>96235.69378</v>
          </cell>
        </row>
        <row r="65">
          <cell r="D65">
            <v>24512.12693</v>
          </cell>
          <cell r="F65">
            <v>2264.8343800000002</v>
          </cell>
          <cell r="H65">
            <v>2264.8343800000002</v>
          </cell>
          <cell r="I65">
            <v>22247.29255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78">
          <cell r="J78">
            <v>1455432.95074</v>
          </cell>
        </row>
        <row r="79">
          <cell r="L79">
            <v>29553.98752</v>
          </cell>
          <cell r="M79">
            <v>1784.36425</v>
          </cell>
        </row>
        <row r="82">
          <cell r="J82">
            <v>1085944.74712</v>
          </cell>
          <cell r="N82">
            <v>532632.9162699999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Ф-2018"/>
      <sheetName val="ЭФ-2018_электроэнергия передача"/>
      <sheetName val="ЭФ-2018_теплоснабжение сбыт"/>
      <sheetName val="ЭФ-2018_холодное водоснабжение"/>
      <sheetName val="ЭФ-2018_водоотведение"/>
      <sheetName val="ЭФ-2018_плата за подключение"/>
      <sheetName val="ЭФ-2018_ТП электро"/>
      <sheetName val="ЭФ-2018_ТП вода"/>
      <sheetName val="ЭФ-2018 ТП стоки"/>
      <sheetName val="ЭФ-2018_прочие услуги"/>
      <sheetName val="ЭФ-2018_прочие ком услуги"/>
      <sheetName val="ЭФ-2017_проч ком услуги электро"/>
      <sheetName val="ЭФ-2017_проч ком услуги тепло"/>
      <sheetName val="ЭФ-2017_проч ком услуги вода"/>
      <sheetName val="ЭФ-2017_проч ком услуги стоки"/>
      <sheetName val="ЭФ-2017_прочие неком услуги"/>
      <sheetName val="ЭФ-10_ОПР (АКС)"/>
      <sheetName val="ЭФ-10_ОПР (электро)"/>
      <sheetName val="ЭФ-10_ОПР (тепло)"/>
      <sheetName val="ЭФ-10_ОПР (вода)"/>
      <sheetName val="ЭФ-10_ОПР (стоки)"/>
      <sheetName val="ЭФ-10_ОПР (ТП электро)"/>
      <sheetName val="ЭФ-10_ОПР (проч услуги электро)"/>
      <sheetName val="ЭФ-10_АУР (АКС)"/>
      <sheetName val="ЭФ-10_АУР (ИД)"/>
      <sheetName val="ЭФ-10_АУР (электро)"/>
      <sheetName val="ЭФ-10_АУР (тепло)"/>
      <sheetName val="ЭФ-10_АУР (вода)"/>
      <sheetName val="ЭФ-10_АУР (стоки)"/>
      <sheetName val="ЭФ-10_АУР (ТП электро)"/>
      <sheetName val="ЭФ-10_АУР (аренда)"/>
      <sheetName val="ЭФ-10_Сбыт (АКС)"/>
      <sheetName val="ЭФ-10_Сбыт (тепло)"/>
      <sheetName val="ЭФ-10_Сбыт (вода)"/>
      <sheetName val="ЭФ-10_Сбыт (стоки)"/>
      <sheetName val="Сальдо ДиР электро"/>
      <sheetName val="Сальдо ДиР тепло"/>
      <sheetName val="Сальдо ДиР вода"/>
      <sheetName val="Сальдо ДиР стоки"/>
      <sheetName val="Сальдо ДиР ВиВ"/>
      <sheetName val="Сальдо ДиР ТП электро"/>
      <sheetName val="Сальдо ДиР ТП вода"/>
      <sheetName val="Сальдо ДиР ТП стоки"/>
      <sheetName val="Сальдо ДиР аренда"/>
      <sheetName val="Сальдо ДиР выполнение работ"/>
      <sheetName val="Сальдо ДиР проч АЭСС"/>
      <sheetName val="Сальдо ДиР проч АТС"/>
      <sheetName val="Сальдо ДиР проч ВОДА"/>
      <sheetName val="Сальдо ДиР проч СТОКИ"/>
      <sheetName val="Сальдо ДиР итого"/>
      <sheetName val="Лист1"/>
    </sheetNames>
    <sheetDataSet>
      <sheetData sheetId="0">
        <row r="73">
          <cell r="P73">
            <v>-141892.31441000002</v>
          </cell>
        </row>
        <row r="107">
          <cell r="P107">
            <v>-19660.690420000003</v>
          </cell>
        </row>
        <row r="114">
          <cell r="P114">
            <v>-9128.06351</v>
          </cell>
        </row>
        <row r="115">
          <cell r="P115">
            <v>-185860.72942999998</v>
          </cell>
        </row>
        <row r="116">
          <cell r="P116">
            <v>-57228.105339999995</v>
          </cell>
        </row>
        <row r="119">
          <cell r="P119">
            <v>-36930.442670000004</v>
          </cell>
        </row>
        <row r="120">
          <cell r="P120">
            <v>-60808.85057</v>
          </cell>
        </row>
        <row r="121">
          <cell r="P121">
            <v>-18539.021969999998</v>
          </cell>
        </row>
        <row r="122">
          <cell r="P122">
            <v>-220.012</v>
          </cell>
        </row>
        <row r="124">
          <cell r="P124">
            <v>-46879.43135</v>
          </cell>
        </row>
        <row r="125">
          <cell r="P125">
            <v>-30317.171100000003</v>
          </cell>
        </row>
        <row r="126">
          <cell r="P126">
            <v>-9277.07086</v>
          </cell>
        </row>
        <row r="127">
          <cell r="P127">
            <v>-36024.02505</v>
          </cell>
        </row>
        <row r="129">
          <cell r="P129">
            <v>-34052.31752</v>
          </cell>
        </row>
        <row r="130">
          <cell r="P130">
            <v>-11968.630710000001</v>
          </cell>
        </row>
        <row r="131">
          <cell r="P131">
            <v>-85407.11819999998</v>
          </cell>
        </row>
        <row r="132">
          <cell r="P132">
            <v>-25648.640679999997</v>
          </cell>
        </row>
        <row r="142">
          <cell r="P142">
            <v>-103944.09569999999</v>
          </cell>
        </row>
        <row r="147">
          <cell r="P147">
            <v>-94736.87219000001</v>
          </cell>
        </row>
        <row r="148">
          <cell r="P148">
            <v>-28063.242510000004</v>
          </cell>
        </row>
        <row r="151">
          <cell r="P151">
            <v>-82938.98744</v>
          </cell>
        </row>
        <row r="152">
          <cell r="P152">
            <v>-22758.078859999998</v>
          </cell>
        </row>
        <row r="155">
          <cell r="P155">
            <v>-1092.27654</v>
          </cell>
        </row>
        <row r="161">
          <cell r="P161">
            <v>-10695.8098</v>
          </cell>
        </row>
        <row r="162">
          <cell r="P162">
            <v>-3215.7687399999995</v>
          </cell>
        </row>
        <row r="169">
          <cell r="P169">
            <v>-114247.71305</v>
          </cell>
        </row>
        <row r="172">
          <cell r="P172">
            <v>-87834.21338000002</v>
          </cell>
        </row>
        <row r="178">
          <cell r="P178">
            <v>-53843.81</v>
          </cell>
        </row>
      </sheetData>
      <sheetData sheetId="1">
        <row r="115">
          <cell r="P115">
            <v>-15781.28962</v>
          </cell>
        </row>
        <row r="120">
          <cell r="P120">
            <v>-3808.27187</v>
          </cell>
        </row>
        <row r="121">
          <cell r="P121">
            <v>-1150.00475</v>
          </cell>
        </row>
        <row r="125">
          <cell r="P125">
            <v>-9792.563329999999</v>
          </cell>
        </row>
        <row r="126">
          <cell r="P126">
            <v>-2993.1765100000002</v>
          </cell>
        </row>
        <row r="127">
          <cell r="P127">
            <v>-8479.12294</v>
          </cell>
        </row>
        <row r="131">
          <cell r="P131">
            <v>-16196.66087</v>
          </cell>
        </row>
        <row r="147">
          <cell r="P147">
            <v>-22614.23918</v>
          </cell>
        </row>
        <row r="151">
          <cell r="P151">
            <v>-12480.58542</v>
          </cell>
        </row>
      </sheetData>
      <sheetData sheetId="6">
        <row r="149">
          <cell r="P149">
            <v>-19.1022</v>
          </cell>
        </row>
        <row r="152">
          <cell r="P152">
            <v>-1173.2815</v>
          </cell>
        </row>
        <row r="169">
          <cell r="P169">
            <v>-22.71479</v>
          </cell>
        </row>
      </sheetData>
      <sheetData sheetId="16">
        <row r="60">
          <cell r="P60">
            <v>-938.2184500000001</v>
          </cell>
        </row>
        <row r="66">
          <cell r="P66">
            <v>-1623.12378</v>
          </cell>
        </row>
        <row r="67">
          <cell r="P67">
            <v>-146.915</v>
          </cell>
        </row>
        <row r="70">
          <cell r="P70">
            <v>-2304.88021</v>
          </cell>
        </row>
        <row r="77">
          <cell r="P77">
            <v>-2.57595</v>
          </cell>
        </row>
        <row r="78">
          <cell r="P78">
            <v>0</v>
          </cell>
        </row>
      </sheetData>
      <sheetData sheetId="23">
        <row r="59">
          <cell r="P59">
            <v>-4.755300000000001</v>
          </cell>
        </row>
        <row r="66">
          <cell r="P66">
            <v>-3095.885880000001</v>
          </cell>
        </row>
        <row r="70">
          <cell r="P70">
            <v>-1526.68594</v>
          </cell>
        </row>
        <row r="77">
          <cell r="P77">
            <v>-6.30008</v>
          </cell>
        </row>
        <row r="78">
          <cell r="P78">
            <v>0</v>
          </cell>
        </row>
      </sheetData>
      <sheetData sheetId="24">
        <row r="13">
          <cell r="P13">
            <v>-189507.78971</v>
          </cell>
        </row>
      </sheetData>
      <sheetData sheetId="49">
        <row r="43">
          <cell r="O43">
            <v>1101.5506</v>
          </cell>
        </row>
        <row r="45">
          <cell r="O45">
            <v>1594.0695</v>
          </cell>
        </row>
        <row r="52">
          <cell r="O52">
            <v>98.40487999999999</v>
          </cell>
        </row>
        <row r="53">
          <cell r="O53">
            <v>1688.6972199999998</v>
          </cell>
        </row>
        <row r="60">
          <cell r="O60">
            <v>449.5</v>
          </cell>
        </row>
        <row r="71">
          <cell r="O71">
            <v>40.1094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 на мощность"/>
      <sheetName val="выпадающие от ТП"/>
      <sheetName val="аренда"/>
      <sheetName val="Приложение 1.1"/>
      <sheetName val="приложение 1.2"/>
      <sheetName val="корр-ка по цене ДЭК сверх 18"/>
      <sheetName val="кор-ка по цене ДЭК в пред 18"/>
      <sheetName val="потери ДЭК 18 "/>
      <sheetName val="Форма 3.1 2018 пл"/>
      <sheetName val="3.1 2019"/>
      <sheetName val="корр-ка по цене покуп в пред17"/>
      <sheetName val="корр-ка по цене покуп сверх17"/>
      <sheetName val="потери ДЭК 17"/>
      <sheetName val="электро 2016"/>
      <sheetName val="электро 2017"/>
      <sheetName val="электро 2018"/>
      <sheetName val="расчет тарифа 19"/>
      <sheetName val="2019"/>
      <sheetName val="выручка"/>
      <sheetName val="Форма 3.1 2017"/>
      <sheetName val="Потери"/>
    </sheetNames>
    <sheetDataSet>
      <sheetData sheetId="0">
        <row r="15">
          <cell r="X15">
            <v>9070.756870000001</v>
          </cell>
        </row>
        <row r="18">
          <cell r="X18">
            <v>329.38079000000005</v>
          </cell>
        </row>
        <row r="19">
          <cell r="O19">
            <v>86900.16467999999</v>
          </cell>
          <cell r="X19">
            <v>80673.61028999998</v>
          </cell>
        </row>
        <row r="21">
          <cell r="X21">
            <v>29866.31312</v>
          </cell>
        </row>
        <row r="22">
          <cell r="X22">
            <v>17951.39791</v>
          </cell>
        </row>
        <row r="35">
          <cell r="X35">
            <v>72.24996</v>
          </cell>
        </row>
        <row r="40">
          <cell r="X40">
            <v>108.35592999999999</v>
          </cell>
        </row>
        <row r="41">
          <cell r="X41">
            <v>7756.62647</v>
          </cell>
        </row>
        <row r="42">
          <cell r="X42">
            <v>115.29211</v>
          </cell>
        </row>
        <row r="43">
          <cell r="X43">
            <v>14310.4725</v>
          </cell>
        </row>
        <row r="46">
          <cell r="X46">
            <v>566.5903</v>
          </cell>
        </row>
        <row r="48">
          <cell r="X48">
            <v>2537.7978000000003</v>
          </cell>
        </row>
        <row r="52">
          <cell r="X52">
            <v>820.60623</v>
          </cell>
        </row>
        <row r="53">
          <cell r="X53">
            <v>157.64639</v>
          </cell>
        </row>
        <row r="54">
          <cell r="X54">
            <v>24765.21778</v>
          </cell>
        </row>
        <row r="55">
          <cell r="X55">
            <v>10446.23102</v>
          </cell>
        </row>
        <row r="60">
          <cell r="X60">
            <v>23910.89357</v>
          </cell>
        </row>
        <row r="62">
          <cell r="X62">
            <v>24344.531327651584</v>
          </cell>
        </row>
        <row r="63">
          <cell r="X63">
            <v>44324.39221</v>
          </cell>
        </row>
        <row r="65">
          <cell r="X65">
            <v>32486.354079999997</v>
          </cell>
        </row>
        <row r="69">
          <cell r="X69">
            <v>78831.037</v>
          </cell>
        </row>
        <row r="77">
          <cell r="X77">
            <v>403373.50369765155</v>
          </cell>
        </row>
      </sheetData>
      <sheetData sheetId="7">
        <row r="19">
          <cell r="C19">
            <v>307643268.03999996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47">
          <cell r="G47">
            <v>137562.628</v>
          </cell>
          <cell r="J47">
            <v>34953.144</v>
          </cell>
          <cell r="K47">
            <v>102609.484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2">
          <cell r="D22">
            <v>-3555273.407549999</v>
          </cell>
          <cell r="G22">
            <v>-5988.32891</v>
          </cell>
        </row>
        <row r="24">
          <cell r="D24">
            <v>-77666.13547</v>
          </cell>
        </row>
        <row r="28">
          <cell r="D28">
            <v>-87834.21338</v>
          </cell>
          <cell r="G28">
            <v>-487.56546999999995</v>
          </cell>
        </row>
        <row r="30">
          <cell r="D30">
            <v>-933104.1638600003</v>
          </cell>
          <cell r="G30">
            <v>-14809.46837</v>
          </cell>
        </row>
        <row r="32">
          <cell r="F32">
            <v>-21377.64180411306</v>
          </cell>
          <cell r="G32">
            <v>-2966.8895235385207</v>
          </cell>
        </row>
        <row r="33">
          <cell r="G33">
            <v>17198.014736461475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.01 АЭСС за 2018"/>
      <sheetName val="26.02 АЭСС за 2018"/>
      <sheetName val="26.02 Ап.упр. за 2018"/>
      <sheetName val="субконто 2018"/>
      <sheetName val="91.02.1 АЭСС за 2018"/>
      <sheetName val="Сальдо ДиР электро"/>
      <sheetName val="АЭСС 08.04_2018"/>
      <sheetName val="60 сч за 2018"/>
      <sheetName val="20.01 ТП за 2018"/>
      <sheetName val="26.01 ТП за 2018"/>
      <sheetName val="Субконто ТП за 2018"/>
      <sheetName val="91,02,1 ТП за 2018"/>
      <sheetName val="Сальдо ДиР ТП электро"/>
    </sheetNames>
    <sheetDataSet>
      <sheetData sheetId="8">
        <row r="19">
          <cell r="E19">
            <v>616214.66</v>
          </cell>
        </row>
        <row r="20">
          <cell r="E20">
            <v>5988328.91</v>
          </cell>
        </row>
      </sheetData>
      <sheetData sheetId="11">
        <row r="12">
          <cell r="E12">
            <v>13088644.02</v>
          </cell>
        </row>
        <row r="19">
          <cell r="E19">
            <v>981.21</v>
          </cell>
        </row>
        <row r="22">
          <cell r="E22">
            <v>2484.57</v>
          </cell>
        </row>
        <row r="26">
          <cell r="E26">
            <v>-89.95</v>
          </cell>
        </row>
        <row r="27">
          <cell r="E27">
            <v>4332.55</v>
          </cell>
        </row>
        <row r="35">
          <cell r="E35">
            <v>4335.83</v>
          </cell>
        </row>
        <row r="49">
          <cell r="E49">
            <v>1.91</v>
          </cell>
        </row>
        <row r="56">
          <cell r="E56">
            <v>716.12</v>
          </cell>
        </row>
        <row r="60">
          <cell r="E60">
            <v>1467.11</v>
          </cell>
        </row>
        <row r="63">
          <cell r="E63">
            <v>10383.68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6"/>
      <sheetName val="факт 2017"/>
      <sheetName val="факт 2018"/>
      <sheetName val="Лист1"/>
    </sheetNames>
    <sheetDataSet>
      <sheetData sheetId="2">
        <row r="294">
          <cell r="O294">
            <v>23490.05775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% выполнения ПП (7 мес)"/>
      <sheetName val="% выполнения ПП (12 мес)"/>
      <sheetName val="АВК план ОС-2018Г"/>
      <sheetName val="АВК 1 с -12мес."/>
      <sheetName val="АВК 08.04 СЧ-2018 ГОД"/>
      <sheetName val="АТС ремонты"/>
      <sheetName val="АТС Приобретение неаморт имущ"/>
      <sheetName val="АТС 08.04_2018 год"/>
      <sheetName val="% выполнения ПП (6 мес)"/>
      <sheetName val="свод"/>
      <sheetName val="Лист2"/>
      <sheetName val="Лист3"/>
      <sheetName val="Лист2 (2)"/>
      <sheetName val="АЭСС ремонты"/>
      <sheetName val="АЭСС 08.04_2018"/>
    </sheetNames>
    <sheetDataSet>
      <sheetData sheetId="1">
        <row r="7">
          <cell r="M7">
            <v>5013.62166</v>
          </cell>
        </row>
        <row r="15">
          <cell r="F15">
            <v>1717.65326</v>
          </cell>
          <cell r="M15">
            <v>2965.6322200000004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view="pageBreakPreview" zoomScale="130" zoomScaleSheetLayoutView="130" zoomScalePageLayoutView="0" workbookViewId="0" topLeftCell="A1">
      <selection activeCell="D56" sqref="D56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4.125" style="1" customWidth="1"/>
    <col min="4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4" customFormat="1" ht="10.5">
      <c r="A4" s="133" t="s">
        <v>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L11" s="134" t="s">
        <v>126</v>
      </c>
      <c r="M11" s="134"/>
      <c r="N11" s="134"/>
      <c r="O11" s="134"/>
      <c r="P11" s="134"/>
    </row>
    <row r="12" spans="1:16" s="2" customFormat="1" ht="8.25">
      <c r="A12" s="2" t="s">
        <v>12</v>
      </c>
      <c r="L12" s="135" t="s">
        <v>129</v>
      </c>
      <c r="M12" s="135"/>
      <c r="N12" s="135"/>
      <c r="O12" s="135"/>
      <c r="P12" s="135"/>
    </row>
    <row r="13" spans="1:16" s="2" customFormat="1" ht="8.25">
      <c r="A13" s="2" t="s">
        <v>13</v>
      </c>
      <c r="L13" s="135" t="s">
        <v>127</v>
      </c>
      <c r="M13" s="135"/>
      <c r="N13" s="135"/>
      <c r="O13" s="135"/>
      <c r="P13" s="135"/>
    </row>
    <row r="14" spans="1:16" s="2" customFormat="1" ht="8.25">
      <c r="A14" s="2" t="s">
        <v>63</v>
      </c>
      <c r="L14" s="135" t="s">
        <v>128</v>
      </c>
      <c r="M14" s="135"/>
      <c r="N14" s="135"/>
      <c r="O14" s="135"/>
      <c r="P14" s="135"/>
    </row>
    <row r="15" spans="1:16" s="2" customFormat="1" ht="8.25">
      <c r="A15" s="2" t="s">
        <v>14</v>
      </c>
      <c r="L15" s="135" t="s">
        <v>143</v>
      </c>
      <c r="M15" s="135"/>
      <c r="N15" s="135"/>
      <c r="O15" s="135"/>
      <c r="P15" s="135"/>
    </row>
    <row r="16" spans="4:16" s="2" customFormat="1" ht="8.25">
      <c r="D16" s="57"/>
      <c r="F16" s="61"/>
      <c r="L16" s="6"/>
      <c r="M16" s="6"/>
      <c r="N16" s="6"/>
      <c r="O16" s="6"/>
      <c r="P16" s="6"/>
    </row>
    <row r="17" s="2" customFormat="1" ht="7.5" customHeight="1">
      <c r="D17" s="57"/>
    </row>
    <row r="18" spans="1:16" s="9" customFormat="1" ht="9" customHeight="1">
      <c r="A18" s="130" t="s">
        <v>0</v>
      </c>
      <c r="B18" s="130" t="s">
        <v>1</v>
      </c>
      <c r="C18" s="130" t="s">
        <v>2</v>
      </c>
      <c r="D18" s="130" t="s">
        <v>3</v>
      </c>
      <c r="E18" s="130" t="s">
        <v>121</v>
      </c>
      <c r="F18" s="125" t="s">
        <v>117</v>
      </c>
      <c r="G18" s="126"/>
      <c r="H18" s="126"/>
      <c r="I18" s="127"/>
      <c r="J18" s="130" t="s">
        <v>66</v>
      </c>
      <c r="K18" s="130" t="s">
        <v>120</v>
      </c>
      <c r="L18" s="125" t="s">
        <v>118</v>
      </c>
      <c r="M18" s="126"/>
      <c r="N18" s="126"/>
      <c r="O18" s="127"/>
      <c r="P18" s="128" t="s">
        <v>106</v>
      </c>
    </row>
    <row r="19" spans="1:16" s="9" customFormat="1" ht="72" customHeight="1">
      <c r="A19" s="131"/>
      <c r="B19" s="131"/>
      <c r="C19" s="131"/>
      <c r="D19" s="131"/>
      <c r="E19" s="131"/>
      <c r="F19" s="31" t="s">
        <v>130</v>
      </c>
      <c r="G19" s="31" t="s">
        <v>131</v>
      </c>
      <c r="H19" s="31" t="s">
        <v>138</v>
      </c>
      <c r="I19" s="31" t="s">
        <v>119</v>
      </c>
      <c r="J19" s="131"/>
      <c r="K19" s="131"/>
      <c r="L19" s="31" t="s">
        <v>133</v>
      </c>
      <c r="M19" s="31" t="s">
        <v>137</v>
      </c>
      <c r="N19" s="31" t="s">
        <v>138</v>
      </c>
      <c r="O19" s="31" t="s">
        <v>119</v>
      </c>
      <c r="P19" s="129"/>
    </row>
    <row r="20" spans="1:16" s="10" customFormat="1" ht="18.7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7" t="s">
        <v>112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7" t="s">
        <v>67</v>
      </c>
      <c r="O20" s="20">
        <v>15</v>
      </c>
      <c r="P20" s="20">
        <v>16</v>
      </c>
    </row>
    <row r="21" spans="1:19" s="5" customFormat="1" ht="31.5" customHeight="1">
      <c r="A21" s="21" t="s">
        <v>68</v>
      </c>
      <c r="B21" s="24" t="s">
        <v>4</v>
      </c>
      <c r="C21" s="25" t="s">
        <v>5</v>
      </c>
      <c r="D21" s="45">
        <f>D22+D30+D35+D43+D44+D45+D48+D49+D50</f>
        <v>3720773.7563999994</v>
      </c>
      <c r="E21" s="45">
        <f aca="true" t="shared" si="0" ref="E21:P21">E22+E30+E35+E43+E44+E45+E48+E49+E50</f>
        <v>0</v>
      </c>
      <c r="F21" s="45">
        <f>F22+F30+F35+F43+F44+F45+F48+F49+F50</f>
        <v>560412.4231</v>
      </c>
      <c r="G21" s="47">
        <f t="shared" si="0"/>
        <v>6475.89438</v>
      </c>
      <c r="H21" s="45">
        <f t="shared" si="0"/>
        <v>566888.31748</v>
      </c>
      <c r="I21" s="45">
        <f t="shared" si="0"/>
        <v>3153885.4389199996</v>
      </c>
      <c r="J21" s="54" t="e">
        <f t="shared" si="0"/>
        <v>#REF!</v>
      </c>
      <c r="K21" s="53" t="e">
        <f t="shared" si="0"/>
        <v>#REF!</v>
      </c>
      <c r="L21" s="54" t="e">
        <f t="shared" si="0"/>
        <v>#REF!</v>
      </c>
      <c r="M21" s="54" t="e">
        <f t="shared" si="0"/>
        <v>#REF!</v>
      </c>
      <c r="N21" s="54">
        <f t="shared" si="0"/>
        <v>515876.54539999994</v>
      </c>
      <c r="O21" s="54">
        <f t="shared" si="0"/>
        <v>3302230.5643800003</v>
      </c>
      <c r="P21" s="53">
        <f t="shared" si="0"/>
        <v>0</v>
      </c>
      <c r="Q21" s="33">
        <f>F21-F24</f>
        <v>252769.15506000008</v>
      </c>
      <c r="R21" s="30">
        <f>'[4]расчет НВВ на мощность'!$X$77-'[4]расчет НВВ на мощность'!$X$46-'[4]расчет НВВ на мощность'!$X$48-'[4]расчет НВВ на мощность'!$X$69-'[4]расчет НВВ на мощность'!$X$63-'[4]расчет НВВ на мощность'!$X$62</f>
        <v>252769.15505999996</v>
      </c>
      <c r="S21" s="30">
        <f>Q21-R21</f>
        <v>0</v>
      </c>
    </row>
    <row r="22" spans="1:16" s="5" customFormat="1" ht="12.75" customHeight="1">
      <c r="A22" s="17" t="s">
        <v>69</v>
      </c>
      <c r="B22" s="24" t="s">
        <v>4</v>
      </c>
      <c r="C22" s="25" t="s">
        <v>6</v>
      </c>
      <c r="D22" s="45">
        <f>D23+D24+D29</f>
        <v>592326.0343599999</v>
      </c>
      <c r="E22" s="45">
        <f aca="true" t="shared" si="1" ref="E22:P22">E23+E24+E29</f>
        <v>0</v>
      </c>
      <c r="F22" s="47">
        <f t="shared" si="1"/>
        <v>338921.82131999993</v>
      </c>
      <c r="G22" s="47">
        <f t="shared" si="1"/>
        <v>19.1022</v>
      </c>
      <c r="H22" s="47">
        <f t="shared" si="1"/>
        <v>338940.9235199999</v>
      </c>
      <c r="I22" s="47">
        <f t="shared" si="1"/>
        <v>253385.11084</v>
      </c>
      <c r="J22" s="52">
        <f t="shared" si="1"/>
        <v>529171.73159</v>
      </c>
      <c r="K22" s="53" t="e">
        <f t="shared" si="1"/>
        <v>#REF!</v>
      </c>
      <c r="L22" s="52">
        <f t="shared" si="1"/>
        <v>303568.35036000004</v>
      </c>
      <c r="M22" s="52" t="e">
        <f t="shared" si="1"/>
        <v>#REF!</v>
      </c>
      <c r="N22" s="52">
        <f t="shared" si="1"/>
        <v>303594.12937000004</v>
      </c>
      <c r="O22" s="52">
        <f t="shared" si="1"/>
        <v>225577.60221999994</v>
      </c>
      <c r="P22" s="53">
        <f t="shared" si="1"/>
        <v>0</v>
      </c>
    </row>
    <row r="23" spans="1:18" s="5" customFormat="1" ht="10.5" customHeight="1">
      <c r="A23" s="16" t="s">
        <v>20</v>
      </c>
      <c r="B23" s="24" t="s">
        <v>4</v>
      </c>
      <c r="C23" s="25" t="s">
        <v>16</v>
      </c>
      <c r="D23" s="28">
        <f>-('[3]ЭФ-2018'!$P$114+'[3]ЭФ-2018'!$P$119+'[3]ЭФ-2018'!$P$124+'[3]ЭФ-2018'!$P$129+'[3]ЭФ-2018'!$P$130)</f>
        <v>138958.88576</v>
      </c>
      <c r="E23" s="28"/>
      <c r="F23" s="52">
        <f>'[4]расчет НВВ на мощность'!$X$15+'[4]расчет НВВ на мощность'!$X$21-F34</f>
        <v>30457.947050000002</v>
      </c>
      <c r="G23" s="52">
        <f>-'[3]ЭФ-2018_ТП электро'!$P$149</f>
        <v>19.1022</v>
      </c>
      <c r="H23" s="32">
        <f>F23+G23</f>
        <v>30477.049250000004</v>
      </c>
      <c r="I23" s="32">
        <f>D23-H23</f>
        <v>108481.83651</v>
      </c>
      <c r="J23" s="52">
        <f>'[2]стр.1'!D23</f>
        <v>103764.65680999999</v>
      </c>
      <c r="K23" s="52" t="e">
        <f>'[2]стр.1'!E23</f>
        <v>#REF!</v>
      </c>
      <c r="L23" s="52">
        <f>'[2]стр.1'!F23</f>
        <v>22652.36967</v>
      </c>
      <c r="M23" s="52">
        <f>'[2]стр.1'!G23</f>
        <v>25.77901</v>
      </c>
      <c r="N23" s="52">
        <f>'[2]стр.1'!H23</f>
        <v>22678.14868</v>
      </c>
      <c r="O23" s="52">
        <f>'[2]стр.1'!I23</f>
        <v>81086.50812999999</v>
      </c>
      <c r="P23" s="53"/>
      <c r="Q23" s="29">
        <v>2018</v>
      </c>
      <c r="R23" s="29">
        <v>2017</v>
      </c>
    </row>
    <row r="24" spans="1:18" s="5" customFormat="1" ht="33.75" customHeight="1">
      <c r="A24" s="16" t="s">
        <v>21</v>
      </c>
      <c r="B24" s="24" t="s">
        <v>4</v>
      </c>
      <c r="C24" s="25" t="s">
        <v>17</v>
      </c>
      <c r="D24" s="28">
        <f>F24</f>
        <v>307643.26803999994</v>
      </c>
      <c r="E24" s="28"/>
      <c r="F24" s="52">
        <f>'[4]потери ДЭК 18 '!$C$19/1000</f>
        <v>307643.26803999994</v>
      </c>
      <c r="G24" s="39"/>
      <c r="H24" s="32">
        <f aca="true" t="shared" si="2" ref="H24:H67">F24+G24</f>
        <v>307643.26803999994</v>
      </c>
      <c r="I24" s="32">
        <f aca="true" t="shared" si="3" ref="I24:I67">D24-H24</f>
        <v>0</v>
      </c>
      <c r="J24" s="52">
        <f>'[2]стр.1'!D24</f>
        <v>279413.17435000004</v>
      </c>
      <c r="K24" s="52" t="e">
        <f>'[2]стр.1'!E24</f>
        <v>#REF!</v>
      </c>
      <c r="L24" s="52">
        <f>'[2]стр.1'!F24</f>
        <v>279413.17435000004</v>
      </c>
      <c r="M24" s="52" t="e">
        <f>'[2]стр.1'!G24</f>
        <v>#REF!</v>
      </c>
      <c r="N24" s="52">
        <f>'[2]стр.1'!H24</f>
        <v>279413.17435000004</v>
      </c>
      <c r="O24" s="52">
        <f>'[2]стр.1'!I24</f>
        <v>0</v>
      </c>
      <c r="P24" s="53"/>
      <c r="Q24" s="29">
        <f>'[5]Отпуск ЭЭ сет организациями'!$G$47</f>
        <v>137562.628</v>
      </c>
      <c r="R24" s="29">
        <f>R27+R28</f>
        <v>144956.164</v>
      </c>
    </row>
    <row r="25" spans="1:18" s="5" customFormat="1" ht="8.25" customHeight="1">
      <c r="A25" s="18" t="s">
        <v>70</v>
      </c>
      <c r="B25" s="24" t="s">
        <v>4</v>
      </c>
      <c r="C25" s="25"/>
      <c r="D25" s="28"/>
      <c r="E25" s="28"/>
      <c r="F25" s="32"/>
      <c r="G25" s="39"/>
      <c r="H25" s="32">
        <f t="shared" si="2"/>
        <v>0</v>
      </c>
      <c r="I25" s="32">
        <f t="shared" si="3"/>
        <v>0</v>
      </c>
      <c r="J25" s="52" t="e">
        <f>'[2]стр.1'!D25</f>
        <v>#REF!</v>
      </c>
      <c r="K25" s="52" t="e">
        <f>'[2]стр.1'!E25</f>
        <v>#REF!</v>
      </c>
      <c r="L25" s="52" t="e">
        <f>'[2]стр.1'!F25</f>
        <v>#REF!</v>
      </c>
      <c r="M25" s="52" t="e">
        <f>'[2]стр.1'!G25</f>
        <v>#REF!</v>
      </c>
      <c r="N25" s="52">
        <f>'[2]стр.1'!H25</f>
        <v>0</v>
      </c>
      <c r="O25" s="52">
        <f>'[2]стр.1'!I25</f>
        <v>0</v>
      </c>
      <c r="P25" s="53"/>
      <c r="Q25" s="29"/>
      <c r="R25" s="29"/>
    </row>
    <row r="26" spans="1:18" s="5" customFormat="1" ht="8.25" customHeight="1">
      <c r="A26" s="18" t="s">
        <v>71</v>
      </c>
      <c r="B26" s="24" t="s">
        <v>4</v>
      </c>
      <c r="C26" s="25"/>
      <c r="D26" s="28"/>
      <c r="E26" s="28"/>
      <c r="F26" s="32"/>
      <c r="G26" s="39"/>
      <c r="H26" s="32">
        <f t="shared" si="2"/>
        <v>0</v>
      </c>
      <c r="I26" s="32">
        <f t="shared" si="3"/>
        <v>0</v>
      </c>
      <c r="J26" s="52" t="e">
        <f>'[2]стр.1'!D26</f>
        <v>#REF!</v>
      </c>
      <c r="K26" s="52" t="e">
        <f>'[2]стр.1'!E26</f>
        <v>#REF!</v>
      </c>
      <c r="L26" s="52" t="e">
        <f>'[2]стр.1'!F26</f>
        <v>#REF!</v>
      </c>
      <c r="M26" s="52" t="e">
        <f>'[2]стр.1'!G26</f>
        <v>#REF!</v>
      </c>
      <c r="N26" s="52">
        <f>'[2]стр.1'!H26</f>
        <v>0</v>
      </c>
      <c r="O26" s="52">
        <f>'[2]стр.1'!I26</f>
        <v>0</v>
      </c>
      <c r="P26" s="53"/>
      <c r="Q26" s="29"/>
      <c r="R26" s="29"/>
    </row>
    <row r="27" spans="1:18" s="5" customFormat="1" ht="8.25" customHeight="1">
      <c r="A27" s="18" t="s">
        <v>72</v>
      </c>
      <c r="B27" s="24" t="s">
        <v>4</v>
      </c>
      <c r="C27" s="25"/>
      <c r="D27" s="28">
        <f>F27</f>
        <v>78168.75560441254</v>
      </c>
      <c r="E27" s="28"/>
      <c r="F27" s="52">
        <f>Q27*F24/Q24</f>
        <v>78168.75560441254</v>
      </c>
      <c r="G27" s="39"/>
      <c r="H27" s="32">
        <f t="shared" si="2"/>
        <v>78168.75560441254</v>
      </c>
      <c r="I27" s="32">
        <f t="shared" si="3"/>
        <v>0</v>
      </c>
      <c r="J27" s="52">
        <f>'[2]стр.1'!D27</f>
        <v>67951.23675896596</v>
      </c>
      <c r="K27" s="52" t="e">
        <f>'[2]стр.1'!E27</f>
        <v>#REF!</v>
      </c>
      <c r="L27" s="52">
        <f>'[2]стр.1'!F27</f>
        <v>67951.23675896596</v>
      </c>
      <c r="M27" s="52" t="e">
        <f>'[2]стр.1'!G27</f>
        <v>#REF!</v>
      </c>
      <c r="N27" s="52">
        <f>'[2]стр.1'!H27</f>
        <v>67951.23675896596</v>
      </c>
      <c r="O27" s="52">
        <f>'[2]стр.1'!I27</f>
        <v>0</v>
      </c>
      <c r="P27" s="53"/>
      <c r="Q27" s="29">
        <f>'[5]Отпуск ЭЭ сет организациями'!$J$47</f>
        <v>34953.144</v>
      </c>
      <c r="R27" s="29">
        <v>35252.277</v>
      </c>
    </row>
    <row r="28" spans="1:18" s="5" customFormat="1" ht="8.25" customHeight="1">
      <c r="A28" s="18" t="s">
        <v>73</v>
      </c>
      <c r="B28" s="24" t="s">
        <v>4</v>
      </c>
      <c r="C28" s="25"/>
      <c r="D28" s="28">
        <f>F28</f>
        <v>229474.5124355874</v>
      </c>
      <c r="E28" s="28"/>
      <c r="F28" s="52">
        <f>Q28*F24/Q24</f>
        <v>229474.5124355874</v>
      </c>
      <c r="G28" s="39"/>
      <c r="H28" s="32">
        <f t="shared" si="2"/>
        <v>229474.5124355874</v>
      </c>
      <c r="I28" s="32">
        <f t="shared" si="3"/>
        <v>0</v>
      </c>
      <c r="J28" s="52">
        <f>'[2]стр.1'!D28</f>
        <v>211461.93759103413</v>
      </c>
      <c r="K28" s="52" t="e">
        <f>'[2]стр.1'!E28</f>
        <v>#REF!</v>
      </c>
      <c r="L28" s="52">
        <f>'[2]стр.1'!F28</f>
        <v>211461.93759103413</v>
      </c>
      <c r="M28" s="52" t="e">
        <f>'[2]стр.1'!G28</f>
        <v>#REF!</v>
      </c>
      <c r="N28" s="52">
        <f>'[2]стр.1'!H28</f>
        <v>211461.93759103413</v>
      </c>
      <c r="O28" s="52">
        <f>'[2]стр.1'!I28</f>
        <v>0</v>
      </c>
      <c r="P28" s="53"/>
      <c r="Q28" s="29">
        <f>'[5]Отпуск ЭЭ сет организациями'!$K$47</f>
        <v>102609.484</v>
      </c>
      <c r="R28" s="29">
        <v>109703.887</v>
      </c>
    </row>
    <row r="29" spans="1:18" s="5" customFormat="1" ht="16.5" customHeight="1">
      <c r="A29" s="16" t="s">
        <v>22</v>
      </c>
      <c r="B29" s="24" t="s">
        <v>4</v>
      </c>
      <c r="C29" s="25" t="s">
        <v>18</v>
      </c>
      <c r="D29" s="28">
        <f>-('[3]ЭФ-2018'!$P$73+'[3]ЭФ-10_ОПР (АКС)'!$P$70+'[3]ЭФ-10_АУР (АКС)'!$P$70)</f>
        <v>145723.88056000002</v>
      </c>
      <c r="E29" s="28"/>
      <c r="F29" s="52">
        <f>'[4]расчет НВВ на мощность'!$X$52</f>
        <v>820.60623</v>
      </c>
      <c r="G29" s="40"/>
      <c r="H29" s="32">
        <f t="shared" si="2"/>
        <v>820.60623</v>
      </c>
      <c r="I29" s="32">
        <f t="shared" si="3"/>
        <v>144903.27433000001</v>
      </c>
      <c r="J29" s="52">
        <f>'[2]стр.1'!D29</f>
        <v>145993.90042999998</v>
      </c>
      <c r="K29" s="52" t="e">
        <f>'[2]стр.1'!E29</f>
        <v>#REF!</v>
      </c>
      <c r="L29" s="52">
        <f>'[2]стр.1'!F29</f>
        <v>1502.80634</v>
      </c>
      <c r="M29" s="52" t="e">
        <f>'[2]стр.1'!G29</f>
        <v>#REF!</v>
      </c>
      <c r="N29" s="52">
        <f>'[2]стр.1'!H29</f>
        <v>1502.80634</v>
      </c>
      <c r="O29" s="52">
        <f>'[2]стр.1'!I29</f>
        <v>144491.09408999997</v>
      </c>
      <c r="P29" s="53"/>
      <c r="Q29" s="58">
        <f>Q24-Q27-Q28</f>
        <v>0</v>
      </c>
      <c r="R29" s="58">
        <f>R24-R27-R28</f>
        <v>0</v>
      </c>
    </row>
    <row r="30" spans="1:16" s="5" customFormat="1" ht="16.5" customHeight="1">
      <c r="A30" s="17" t="s">
        <v>74</v>
      </c>
      <c r="B30" s="24" t="s">
        <v>4</v>
      </c>
      <c r="C30" s="25" t="s">
        <v>7</v>
      </c>
      <c r="D30" s="45">
        <f>D31+D32+D33+D34</f>
        <v>37329.1705</v>
      </c>
      <c r="E30" s="45">
        <f aca="true" t="shared" si="4" ref="E30:P30">E31+E32+E33+E34</f>
        <v>0</v>
      </c>
      <c r="F30" s="47">
        <f>F31+F32+F33+F34</f>
        <v>8551.372899999998</v>
      </c>
      <c r="G30" s="48">
        <f t="shared" si="4"/>
        <v>0</v>
      </c>
      <c r="H30" s="47">
        <f t="shared" si="4"/>
        <v>8551.372899999998</v>
      </c>
      <c r="I30" s="47">
        <f t="shared" si="4"/>
        <v>28777.797599999998</v>
      </c>
      <c r="J30" s="52" t="e">
        <f t="shared" si="4"/>
        <v>#REF!</v>
      </c>
      <c r="K30" s="53" t="e">
        <f t="shared" si="4"/>
        <v>#REF!</v>
      </c>
      <c r="L30" s="52" t="e">
        <f t="shared" si="4"/>
        <v>#REF!</v>
      </c>
      <c r="M30" s="52" t="e">
        <f t="shared" si="4"/>
        <v>#REF!</v>
      </c>
      <c r="N30" s="52">
        <f t="shared" si="4"/>
        <v>2266.1297700000005</v>
      </c>
      <c r="O30" s="52">
        <f t="shared" si="4"/>
        <v>23192.65877</v>
      </c>
      <c r="P30" s="53">
        <f t="shared" si="4"/>
        <v>0</v>
      </c>
    </row>
    <row r="31" spans="1:16" s="5" customFormat="1" ht="8.25" customHeight="1">
      <c r="A31" s="16" t="s">
        <v>35</v>
      </c>
      <c r="B31" s="24" t="s">
        <v>4</v>
      </c>
      <c r="C31" s="25" t="s">
        <v>75</v>
      </c>
      <c r="D31" s="28">
        <f>-('[3]ЭФ-10_ОПР (АКС)'!$P$60+'[3]ЭФ-10_ОПР (АКС)'!$P$67+'[3]ЭФ-10_ОПР (АКС)'!$P$78+'[3]ЭФ-10_АУР (АКС)'!$P$78)</f>
        <v>1085.13345</v>
      </c>
      <c r="E31" s="28"/>
      <c r="F31" s="52">
        <f>'[4]расчет НВВ на мощность'!$X$35</f>
        <v>72.24996</v>
      </c>
      <c r="G31" s="39"/>
      <c r="H31" s="32">
        <f t="shared" si="2"/>
        <v>72.24996</v>
      </c>
      <c r="I31" s="32">
        <f t="shared" si="3"/>
        <v>1012.88349</v>
      </c>
      <c r="J31" s="52">
        <f>'[2]стр.1'!D31</f>
        <v>946.66161</v>
      </c>
      <c r="K31" s="52" t="e">
        <f>'[2]стр.1'!E31</f>
        <v>#REF!</v>
      </c>
      <c r="L31" s="52">
        <f>'[2]стр.1'!F31</f>
        <v>1.29539</v>
      </c>
      <c r="M31" s="52" t="e">
        <f>'[2]стр.1'!G31</f>
        <v>#REF!</v>
      </c>
      <c r="N31" s="52">
        <f>'[2]стр.1'!H31</f>
        <v>1.29539</v>
      </c>
      <c r="O31" s="52">
        <f>'[2]стр.1'!I31</f>
        <v>945.36622</v>
      </c>
      <c r="P31" s="53"/>
    </row>
    <row r="32" spans="1:16" s="5" customFormat="1" ht="8.25" customHeight="1">
      <c r="A32" s="16" t="s">
        <v>79</v>
      </c>
      <c r="B32" s="24" t="s">
        <v>4</v>
      </c>
      <c r="C32" s="25" t="s">
        <v>76</v>
      </c>
      <c r="D32" s="28"/>
      <c r="E32" s="28"/>
      <c r="F32" s="32"/>
      <c r="G32" s="39"/>
      <c r="H32" s="32">
        <f t="shared" si="2"/>
        <v>0</v>
      </c>
      <c r="I32" s="32">
        <f t="shared" si="3"/>
        <v>0</v>
      </c>
      <c r="J32" s="52" t="e">
        <f>'[2]стр.1'!D32</f>
        <v>#REF!</v>
      </c>
      <c r="K32" s="52" t="e">
        <f>'[2]стр.1'!E32</f>
        <v>#REF!</v>
      </c>
      <c r="L32" s="52" t="e">
        <f>'[2]стр.1'!F32</f>
        <v>#REF!</v>
      </c>
      <c r="M32" s="52" t="e">
        <f>'[2]стр.1'!G32</f>
        <v>#REF!</v>
      </c>
      <c r="N32" s="52">
        <f>'[2]стр.1'!H32</f>
        <v>0</v>
      </c>
      <c r="O32" s="52">
        <f>'[2]стр.1'!I32</f>
        <v>0</v>
      </c>
      <c r="P32" s="53"/>
    </row>
    <row r="33" spans="1:16" s="5" customFormat="1" ht="16.5" customHeight="1">
      <c r="A33" s="16" t="s">
        <v>80</v>
      </c>
      <c r="B33" s="24" t="s">
        <v>4</v>
      </c>
      <c r="C33" s="25" t="s">
        <v>77</v>
      </c>
      <c r="D33" s="28"/>
      <c r="E33" s="28"/>
      <c r="F33" s="32"/>
      <c r="G33" s="39"/>
      <c r="H33" s="32">
        <f t="shared" si="2"/>
        <v>0</v>
      </c>
      <c r="I33" s="32">
        <f t="shared" si="3"/>
        <v>0</v>
      </c>
      <c r="J33" s="52" t="e">
        <f>'[2]стр.1'!D33</f>
        <v>#REF!</v>
      </c>
      <c r="K33" s="52" t="e">
        <f>'[2]стр.1'!E33</f>
        <v>#REF!</v>
      </c>
      <c r="L33" s="52" t="e">
        <f>'[2]стр.1'!F33</f>
        <v>#REF!</v>
      </c>
      <c r="M33" s="52" t="e">
        <f>'[2]стр.1'!G33</f>
        <v>#REF!</v>
      </c>
      <c r="N33" s="52">
        <f>'[2]стр.1'!H33</f>
        <v>0</v>
      </c>
      <c r="O33" s="52">
        <f>'[2]стр.1'!I33</f>
        <v>0</v>
      </c>
      <c r="P33" s="53"/>
    </row>
    <row r="34" spans="1:16" s="5" customFormat="1" ht="16.5" customHeight="1">
      <c r="A34" s="16" t="s">
        <v>36</v>
      </c>
      <c r="B34" s="24" t="s">
        <v>4</v>
      </c>
      <c r="C34" s="25" t="s">
        <v>78</v>
      </c>
      <c r="D34" s="28">
        <f>-('[3]ЭФ-2018'!$P$122+'[3]ЭФ-2018'!$P$127)</f>
        <v>36244.03705</v>
      </c>
      <c r="E34" s="28"/>
      <c r="F34" s="52">
        <f>-'[3]ЭФ-2018_электроэнергия передача'!$P$127</f>
        <v>8479.12294</v>
      </c>
      <c r="G34" s="39"/>
      <c r="H34" s="32">
        <f t="shared" si="2"/>
        <v>8479.12294</v>
      </c>
      <c r="I34" s="32">
        <f t="shared" si="3"/>
        <v>27764.914109999998</v>
      </c>
      <c r="J34" s="52">
        <f>'[2]стр.1'!D34</f>
        <v>24512.12693</v>
      </c>
      <c r="K34" s="52" t="e">
        <f>'[2]стр.1'!E34</f>
        <v>#REF!</v>
      </c>
      <c r="L34" s="52">
        <f>'[2]стр.1'!F34</f>
        <v>2264.8343800000002</v>
      </c>
      <c r="M34" s="52" t="e">
        <f>'[2]стр.1'!G34</f>
        <v>#REF!</v>
      </c>
      <c r="N34" s="52">
        <f>'[2]стр.1'!H34</f>
        <v>2264.8343800000002</v>
      </c>
      <c r="O34" s="52">
        <f>'[2]стр.1'!I34</f>
        <v>22247.29255</v>
      </c>
      <c r="P34" s="53"/>
    </row>
    <row r="35" spans="1:18" s="5" customFormat="1" ht="8.25" customHeight="1">
      <c r="A35" s="17" t="s">
        <v>23</v>
      </c>
      <c r="B35" s="24" t="s">
        <v>4</v>
      </c>
      <c r="C35" s="25" t="s">
        <v>8</v>
      </c>
      <c r="D35" s="45">
        <f>D36+D37+D38</f>
        <v>550765.5387299999</v>
      </c>
      <c r="E35" s="65"/>
      <c r="F35" s="66">
        <f>F36+F37+F38</f>
        <v>80673.61029</v>
      </c>
      <c r="G35" s="66">
        <f aca="true" t="shared" si="5" ref="G35:P35">G36+G37+G38</f>
        <v>3942.7275100000006</v>
      </c>
      <c r="H35" s="66">
        <f t="shared" si="5"/>
        <v>84616.33780000001</v>
      </c>
      <c r="I35" s="66">
        <f t="shared" si="5"/>
        <v>466149.20093</v>
      </c>
      <c r="J35" s="52">
        <f t="shared" si="5"/>
        <v>553962.942</v>
      </c>
      <c r="K35" s="53" t="e">
        <f t="shared" si="5"/>
        <v>#REF!</v>
      </c>
      <c r="L35" s="52">
        <f t="shared" si="5"/>
        <v>83154.00806</v>
      </c>
      <c r="M35" s="52" t="e">
        <f t="shared" si="5"/>
        <v>#REF!</v>
      </c>
      <c r="N35" s="52">
        <f t="shared" si="5"/>
        <v>87089.50327</v>
      </c>
      <c r="O35" s="52">
        <f t="shared" si="5"/>
        <v>466873.43873000005</v>
      </c>
      <c r="P35" s="53">
        <f t="shared" si="5"/>
        <v>0</v>
      </c>
      <c r="Q35" s="30">
        <f>'[4]расчет НВВ на мощность'!$X$19</f>
        <v>80673.61028999998</v>
      </c>
      <c r="R35" s="30">
        <f>'[4]расчет НВВ на мощность'!$O$19</f>
        <v>86900.16467999999</v>
      </c>
    </row>
    <row r="36" spans="1:18" s="5" customFormat="1" ht="8.25" customHeight="1">
      <c r="A36" s="16" t="s">
        <v>25</v>
      </c>
      <c r="B36" s="24" t="s">
        <v>4</v>
      </c>
      <c r="C36" s="25"/>
      <c r="D36" s="28">
        <f>-'[3]ЭФ-2018'!$P$151</f>
        <v>82938.98744</v>
      </c>
      <c r="E36" s="67"/>
      <c r="F36" s="68">
        <f>-'[3]ЭФ-2018_электроэнергия передача'!$P$151</f>
        <v>12480.58542</v>
      </c>
      <c r="G36" s="68">
        <v>3942.7275100000006</v>
      </c>
      <c r="H36" s="69">
        <f t="shared" si="2"/>
        <v>16423.31293</v>
      </c>
      <c r="I36" s="69">
        <f t="shared" si="3"/>
        <v>66515.67451</v>
      </c>
      <c r="J36" s="52">
        <f>'[2]стр.1'!D36</f>
        <v>82360.63805</v>
      </c>
      <c r="K36" s="52" t="e">
        <f>'[2]стр.1'!E36</f>
        <v>#REF!</v>
      </c>
      <c r="L36" s="52">
        <f>'[2]стр.1'!F36</f>
        <v>14222.710560000001</v>
      </c>
      <c r="M36" s="52">
        <f>'[2]стр.1'!G36</f>
        <v>614.0893700000001</v>
      </c>
      <c r="N36" s="52">
        <f>'[2]стр.1'!H36</f>
        <v>14836.799930000001</v>
      </c>
      <c r="O36" s="52">
        <f>'[2]стр.1'!I36</f>
        <v>67523.83812</v>
      </c>
      <c r="P36" s="53"/>
      <c r="Q36" s="30">
        <f>Q35-F35</f>
        <v>0</v>
      </c>
      <c r="R36" s="30">
        <f>R35-L35</f>
        <v>3746.1566199999943</v>
      </c>
    </row>
    <row r="37" spans="1:16" s="5" customFormat="1" ht="8.25" customHeight="1">
      <c r="A37" s="16" t="s">
        <v>83</v>
      </c>
      <c r="B37" s="24" t="s">
        <v>4</v>
      </c>
      <c r="C37" s="25"/>
      <c r="D37" s="28">
        <f>-('[3]ЭФ-2018'!$P$147+'[3]ЭФ-2018'!$P$161)</f>
        <v>105432.68199000001</v>
      </c>
      <c r="E37" s="67"/>
      <c r="F37" s="68">
        <f>-'[3]ЭФ-2018_электроэнергия передача'!$P$147</f>
        <v>22614.23918</v>
      </c>
      <c r="G37" s="68"/>
      <c r="H37" s="69">
        <f t="shared" si="2"/>
        <v>22614.23918</v>
      </c>
      <c r="I37" s="69">
        <f t="shared" si="3"/>
        <v>82818.44281000001</v>
      </c>
      <c r="J37" s="52">
        <f>'[2]стр.1'!D37</f>
        <v>113268.35691999999</v>
      </c>
      <c r="K37" s="52" t="e">
        <f>'[2]стр.1'!E37</f>
        <v>#REF!</v>
      </c>
      <c r="L37" s="52">
        <f>'[2]стр.1'!F37</f>
        <v>23731.31658</v>
      </c>
      <c r="M37" s="52">
        <f>'[2]стр.1'!G37</f>
        <v>3321.40584</v>
      </c>
      <c r="N37" s="52">
        <f>'[2]стр.1'!H37</f>
        <v>27052.72242</v>
      </c>
      <c r="O37" s="52">
        <f>'[2]стр.1'!I37</f>
        <v>86215.63449999999</v>
      </c>
      <c r="P37" s="53"/>
    </row>
    <row r="38" spans="1:16" s="5" customFormat="1" ht="8.25" customHeight="1">
      <c r="A38" s="16" t="s">
        <v>81</v>
      </c>
      <c r="B38" s="24" t="s">
        <v>4</v>
      </c>
      <c r="C38" s="25"/>
      <c r="D38" s="67">
        <f>-('[3]ЭФ-2018'!$P$115+'[3]ЭФ-2018'!$P$120+'[3]ЭФ-2018'!$P$125+'[3]ЭФ-2018'!$P$131)</f>
        <v>362393.86929999996</v>
      </c>
      <c r="E38" s="67"/>
      <c r="F38" s="68">
        <f>-('[3]ЭФ-2018_электроэнергия передача'!$P$115+'[3]ЭФ-2018_электроэнергия передача'!$P$120+'[3]ЭФ-2018_электроэнергия передача'!$P$125+'[3]ЭФ-2018_электроэнергия передача'!$P$131)</f>
        <v>45578.78569</v>
      </c>
      <c r="G38" s="69"/>
      <c r="H38" s="69">
        <f t="shared" si="2"/>
        <v>45578.78569</v>
      </c>
      <c r="I38" s="69">
        <f t="shared" si="3"/>
        <v>316815.08361</v>
      </c>
      <c r="J38" s="52">
        <f>'[2]стр.1'!D38</f>
        <v>358333.94703000004</v>
      </c>
      <c r="K38" s="52" t="e">
        <f>'[2]стр.1'!E38</f>
        <v>#REF!</v>
      </c>
      <c r="L38" s="52">
        <f>'[2]стр.1'!F38</f>
        <v>45199.98092</v>
      </c>
      <c r="M38" s="52" t="e">
        <f>'[2]стр.1'!G38</f>
        <v>#REF!</v>
      </c>
      <c r="N38" s="52">
        <f>'[2]стр.1'!H38</f>
        <v>45199.98092</v>
      </c>
      <c r="O38" s="52">
        <f>'[2]стр.1'!I38</f>
        <v>313133.96611000004</v>
      </c>
      <c r="P38" s="53"/>
    </row>
    <row r="39" spans="1:20" s="5" customFormat="1" ht="16.5" customHeight="1">
      <c r="A39" s="16" t="s">
        <v>82</v>
      </c>
      <c r="B39" s="24" t="s">
        <v>24</v>
      </c>
      <c r="C39" s="25"/>
      <c r="D39" s="70">
        <v>1279</v>
      </c>
      <c r="E39" s="70"/>
      <c r="F39" s="71">
        <f>F40+F41+F42</f>
        <v>193.63</v>
      </c>
      <c r="G39" s="69">
        <f>G40+G41+G42</f>
        <v>7.7438</v>
      </c>
      <c r="H39" s="69">
        <f t="shared" si="2"/>
        <v>201.3738</v>
      </c>
      <c r="I39" s="69">
        <f>D39-H39</f>
        <v>1077.6262</v>
      </c>
      <c r="J39" s="52">
        <f>'[2]стр.1'!D39</f>
        <v>1481.960238429052</v>
      </c>
      <c r="K39" s="52" t="e">
        <f>'[2]стр.1'!E39</f>
        <v>#REF!</v>
      </c>
      <c r="L39" s="52">
        <f>'[2]стр.1'!F39</f>
        <v>232.07</v>
      </c>
      <c r="M39" s="52">
        <f>'[2]стр.1'!G39</f>
        <v>16</v>
      </c>
      <c r="N39" s="52">
        <f>'[2]стр.1'!H39</f>
        <v>248.07</v>
      </c>
      <c r="O39" s="52">
        <f>'[2]стр.1'!I39</f>
        <v>1233.890238429052</v>
      </c>
      <c r="P39" s="53"/>
      <c r="Q39" s="5">
        <v>1381.960238429052</v>
      </c>
      <c r="T39" s="5">
        <v>202.07</v>
      </c>
    </row>
    <row r="40" spans="1:22" s="5" customFormat="1" ht="8.25" customHeight="1">
      <c r="A40" s="16" t="s">
        <v>25</v>
      </c>
      <c r="B40" s="24" t="s">
        <v>24</v>
      </c>
      <c r="C40" s="25"/>
      <c r="D40" s="70">
        <v>112</v>
      </c>
      <c r="E40" s="70"/>
      <c r="F40" s="69">
        <v>17.93</v>
      </c>
      <c r="G40" s="69">
        <v>7.7438</v>
      </c>
      <c r="H40" s="67">
        <f t="shared" si="2"/>
        <v>25.6738</v>
      </c>
      <c r="I40" s="67">
        <f t="shared" si="3"/>
        <v>86.3262</v>
      </c>
      <c r="J40" s="52">
        <f>'[2]стр.1'!D40</f>
        <v>172.7683333333333</v>
      </c>
      <c r="K40" s="52" t="e">
        <f>'[2]стр.1'!E40</f>
        <v>#REF!</v>
      </c>
      <c r="L40" s="52">
        <f>'[2]стр.1'!F40</f>
        <v>48.67</v>
      </c>
      <c r="M40" s="52">
        <f>'[2]стр.1'!G40</f>
        <v>1</v>
      </c>
      <c r="N40" s="52">
        <f>'[2]стр.1'!H40</f>
        <v>49.67</v>
      </c>
      <c r="O40" s="52">
        <f>'[2]стр.1'!I40</f>
        <v>123.09833333333329</v>
      </c>
      <c r="P40" s="53"/>
      <c r="Q40" s="5">
        <v>160.7683333333333</v>
      </c>
      <c r="R40" s="5">
        <f>Q40/$Q$39</f>
        <v>0.11633354481753197</v>
      </c>
      <c r="S40" s="5">
        <f>100*R40</f>
        <v>11.633354481753196</v>
      </c>
      <c r="T40" s="5">
        <v>42.67</v>
      </c>
      <c r="U40" s="5">
        <f>T40/$T$39</f>
        <v>0.211164447963577</v>
      </c>
      <c r="V40" s="5">
        <f>30*U40</f>
        <v>6.33493343890731</v>
      </c>
    </row>
    <row r="41" spans="1:22" s="5" customFormat="1" ht="8.25" customHeight="1">
      <c r="A41" s="16" t="s">
        <v>83</v>
      </c>
      <c r="B41" s="24" t="s">
        <v>24</v>
      </c>
      <c r="C41" s="25"/>
      <c r="D41" s="70">
        <v>239</v>
      </c>
      <c r="E41" s="70"/>
      <c r="F41" s="69">
        <v>56</v>
      </c>
      <c r="G41" s="69"/>
      <c r="H41" s="67">
        <f t="shared" si="2"/>
        <v>56</v>
      </c>
      <c r="I41" s="67">
        <f t="shared" si="3"/>
        <v>183</v>
      </c>
      <c r="J41" s="52">
        <f>'[2]стр.1'!D41</f>
        <v>290.425</v>
      </c>
      <c r="K41" s="52" t="e">
        <f>'[2]стр.1'!E41</f>
        <v>#REF!</v>
      </c>
      <c r="L41" s="52">
        <f>'[2]стр.1'!F41</f>
        <v>53.83</v>
      </c>
      <c r="M41" s="52">
        <f>'[2]стр.1'!G41</f>
        <v>6</v>
      </c>
      <c r="N41" s="52">
        <f>'[2]стр.1'!H41</f>
        <v>59.83</v>
      </c>
      <c r="O41" s="52">
        <f>'[2]стр.1'!I41</f>
        <v>230.59500000000003</v>
      </c>
      <c r="P41" s="53"/>
      <c r="Q41" s="5">
        <v>270.425</v>
      </c>
      <c r="R41" s="5">
        <f>Q41/$Q$39</f>
        <v>0.19568218569544849</v>
      </c>
      <c r="S41" s="5">
        <f>100*R41</f>
        <v>19.568218569544847</v>
      </c>
      <c r="T41" s="5">
        <v>46.83</v>
      </c>
      <c r="U41" s="5">
        <f>T41/$T$39</f>
        <v>0.23175137328648487</v>
      </c>
      <c r="V41" s="5">
        <f>30*U41</f>
        <v>6.952541198594546</v>
      </c>
    </row>
    <row r="42" spans="1:22" s="5" customFormat="1" ht="8.25" customHeight="1">
      <c r="A42" s="16" t="s">
        <v>81</v>
      </c>
      <c r="B42" s="24" t="s">
        <v>24</v>
      </c>
      <c r="C42" s="25"/>
      <c r="D42" s="70">
        <v>928</v>
      </c>
      <c r="E42" s="70"/>
      <c r="F42" s="69">
        <v>119.69999999999999</v>
      </c>
      <c r="G42" s="69"/>
      <c r="H42" s="67">
        <f t="shared" si="2"/>
        <v>119.69999999999999</v>
      </c>
      <c r="I42" s="67">
        <f t="shared" si="3"/>
        <v>808.3</v>
      </c>
      <c r="J42" s="52">
        <f>'[2]стр.1'!D42</f>
        <v>1018.7669050957187</v>
      </c>
      <c r="K42" s="52" t="e">
        <f>'[2]стр.1'!E42</f>
        <v>#REF!</v>
      </c>
      <c r="L42" s="52">
        <f>'[2]стр.1'!F42</f>
        <v>129.57</v>
      </c>
      <c r="M42" s="52">
        <f>'[2]стр.1'!G42</f>
        <v>9</v>
      </c>
      <c r="N42" s="52">
        <f>'[2]стр.1'!H42</f>
        <v>138.57</v>
      </c>
      <c r="O42" s="52">
        <f>'[2]стр.1'!I42</f>
        <v>880.1969050957186</v>
      </c>
      <c r="P42" s="53"/>
      <c r="Q42" s="5">
        <v>950.7669050957187</v>
      </c>
      <c r="R42" s="5">
        <f>Q42/$Q$39</f>
        <v>0.6879842694870195</v>
      </c>
      <c r="S42" s="5">
        <f>100*R42</f>
        <v>68.79842694870194</v>
      </c>
      <c r="T42" s="5">
        <v>112.57</v>
      </c>
      <c r="U42" s="5">
        <f>T42/$T$39</f>
        <v>0.5570841787499381</v>
      </c>
      <c r="V42" s="5">
        <f>30*U42</f>
        <v>16.71252536249814</v>
      </c>
    </row>
    <row r="43" spans="1:21" s="5" customFormat="1" ht="50.25" customHeight="1">
      <c r="A43" s="17" t="s">
        <v>116</v>
      </c>
      <c r="B43" s="24" t="s">
        <v>4</v>
      </c>
      <c r="C43" s="25" t="s">
        <v>26</v>
      </c>
      <c r="D43" s="37">
        <f>-('[3]ЭФ-2018'!$P$116+'[3]ЭФ-2018'!$P$121+'[3]ЭФ-2018'!$P$126+'[3]ЭФ-2018'!$P$132+'[3]ЭФ-2018'!$P$148+'[3]ЭФ-2018'!$P$152+'[3]ЭФ-2018'!$P$162)</f>
        <v>164729.92896</v>
      </c>
      <c r="E43" s="69"/>
      <c r="F43" s="68">
        <f>'[4]расчет НВВ на мощность'!$X$60</f>
        <v>23910.89357</v>
      </c>
      <c r="G43" s="68">
        <f>-'[3]ЭФ-2018_ТП электро'!$P$152</f>
        <v>1173.2815</v>
      </c>
      <c r="H43" s="69">
        <f t="shared" si="2"/>
        <v>25084.17507</v>
      </c>
      <c r="I43" s="69">
        <f t="shared" si="3"/>
        <v>139645.75389</v>
      </c>
      <c r="J43" s="52">
        <f>'[2]стр.1'!D43</f>
        <v>166270.17121</v>
      </c>
      <c r="K43" s="52" t="e">
        <f>'[2]стр.1'!E43</f>
        <v>#REF!</v>
      </c>
      <c r="L43" s="52">
        <f>'[2]стр.1'!F43</f>
        <v>24706.20199</v>
      </c>
      <c r="M43" s="52">
        <f>'[2]стр.1'!G43</f>
        <v>1164.6499900000001</v>
      </c>
      <c r="N43" s="52">
        <f>'[2]стр.1'!H43</f>
        <v>25870.851980000003</v>
      </c>
      <c r="O43" s="52">
        <f>'[2]стр.1'!I43</f>
        <v>140399.31923</v>
      </c>
      <c r="P43" s="53"/>
      <c r="S43" s="33">
        <f>114.039761570948*R40</f>
        <v>13.26664971369454</v>
      </c>
      <c r="U43" s="5">
        <f>8*U40</f>
        <v>1.689315583708616</v>
      </c>
    </row>
    <row r="44" spans="1:21" s="5" customFormat="1" ht="13.5" customHeight="1">
      <c r="A44" s="17" t="s">
        <v>84</v>
      </c>
      <c r="B44" s="24" t="s">
        <v>4</v>
      </c>
      <c r="C44" s="25" t="s">
        <v>27</v>
      </c>
      <c r="D44" s="32">
        <f>-'[3]ЭФ-2018'!$P$169</f>
        <v>114247.71305</v>
      </c>
      <c r="E44" s="37"/>
      <c r="F44" s="52">
        <f>'[4]расчет НВВ на мощность'!$X$65</f>
        <v>32486.354079999997</v>
      </c>
      <c r="G44" s="60">
        <f>-'[3]ЭФ-2018_ТП электро'!$P$169</f>
        <v>22.71479</v>
      </c>
      <c r="H44" s="32">
        <f t="shared" si="2"/>
        <v>32509.06887</v>
      </c>
      <c r="I44" s="32">
        <f t="shared" si="3"/>
        <v>81738.64418</v>
      </c>
      <c r="J44" s="52">
        <f>'[2]стр.1'!D44</f>
        <v>96245.794</v>
      </c>
      <c r="K44" s="52" t="e">
        <f>'[2]стр.1'!E44</f>
        <v>#REF!</v>
      </c>
      <c r="L44" s="52">
        <f>'[2]стр.1'!F44</f>
        <v>27713.66396</v>
      </c>
      <c r="M44" s="52" t="e">
        <f>'[2]стр.1'!G44</f>
        <v>#REF!</v>
      </c>
      <c r="N44" s="52">
        <f>'[2]стр.1'!H44</f>
        <v>27713.66396</v>
      </c>
      <c r="O44" s="52">
        <f>'[2]стр.1'!I44</f>
        <v>68532.13003999999</v>
      </c>
      <c r="P44" s="53"/>
      <c r="S44" s="33">
        <f>114.039761570948*R41</f>
        <v>22.31554980039092</v>
      </c>
      <c r="T44" s="5">
        <f>114*0.15</f>
        <v>17.099999999999998</v>
      </c>
      <c r="U44" s="5">
        <f>8*U41</f>
        <v>1.854010986291879</v>
      </c>
    </row>
    <row r="45" spans="1:21" s="5" customFormat="1" ht="8.25" customHeight="1">
      <c r="A45" s="17" t="s">
        <v>91</v>
      </c>
      <c r="B45" s="24" t="s">
        <v>4</v>
      </c>
      <c r="C45" s="25" t="s">
        <v>28</v>
      </c>
      <c r="D45" s="47">
        <f>D46+D47</f>
        <v>108676.73668999999</v>
      </c>
      <c r="E45" s="49">
        <f aca="true" t="shared" si="6" ref="E45:P45">E46+E47</f>
        <v>0</v>
      </c>
      <c r="F45" s="47">
        <f t="shared" si="6"/>
        <v>24765.21778</v>
      </c>
      <c r="G45" s="48">
        <f t="shared" si="6"/>
        <v>0</v>
      </c>
      <c r="H45" s="47">
        <f t="shared" si="6"/>
        <v>24765.21778</v>
      </c>
      <c r="I45" s="47">
        <f t="shared" si="6"/>
        <v>83911.51890999998</v>
      </c>
      <c r="J45" s="52" t="e">
        <f t="shared" si="6"/>
        <v>#REF!</v>
      </c>
      <c r="K45" s="53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>
        <f t="shared" si="6"/>
        <v>26799.40954</v>
      </c>
      <c r="O45" s="52">
        <f t="shared" si="6"/>
        <v>92648.04149999999</v>
      </c>
      <c r="P45" s="53">
        <f t="shared" si="6"/>
        <v>0</v>
      </c>
      <c r="S45" s="33">
        <f>114.039761570948*R42</f>
        <v>78.45756205686254</v>
      </c>
      <c r="U45" s="5">
        <f>8*U42</f>
        <v>4.456673429999505</v>
      </c>
    </row>
    <row r="46" spans="1:17" s="5" customFormat="1" ht="8.25" customHeight="1">
      <c r="A46" s="16" t="s">
        <v>92</v>
      </c>
      <c r="B46" s="24" t="s">
        <v>4</v>
      </c>
      <c r="C46" s="25" t="s">
        <v>85</v>
      </c>
      <c r="D46" s="32">
        <f>-('[3]ЭФ-2018'!$P$142+'[3]ЭФ-10_ОПР (АКС)'!$P$66+'[3]ЭФ-10_ОПР (АКС)'!$P$77+'[3]ЭФ-10_АУР (АКС)'!$P$59+'[3]ЭФ-10_АУР (АКС)'!$P$66+'[3]ЭФ-10_АУР (АКС)'!$P$77)</f>
        <v>108676.73668999999</v>
      </c>
      <c r="E46" s="37"/>
      <c r="F46" s="52">
        <f>'[4]расчет НВВ на мощность'!$X$54</f>
        <v>24765.21778</v>
      </c>
      <c r="G46" s="39"/>
      <c r="H46" s="32">
        <f t="shared" si="2"/>
        <v>24765.21778</v>
      </c>
      <c r="I46" s="32">
        <f t="shared" si="3"/>
        <v>83911.51890999998</v>
      </c>
      <c r="J46" s="52">
        <f>'[2]стр.1'!D46</f>
        <v>119447.45104</v>
      </c>
      <c r="K46" s="52" t="e">
        <f>'[2]стр.1'!E46</f>
        <v>#REF!</v>
      </c>
      <c r="L46" s="52">
        <f>'[2]стр.1'!F46</f>
        <v>26799.40954</v>
      </c>
      <c r="M46" s="52" t="e">
        <f>'[2]стр.1'!G46</f>
        <v>#REF!</v>
      </c>
      <c r="N46" s="52">
        <f>'[2]стр.1'!H46</f>
        <v>26799.40954</v>
      </c>
      <c r="O46" s="52">
        <f>'[2]стр.1'!I46</f>
        <v>92648.04149999999</v>
      </c>
      <c r="P46" s="53"/>
      <c r="Q46" s="5">
        <f>3000000/30000/12</f>
        <v>8.333333333333334</v>
      </c>
    </row>
    <row r="47" spans="1:16" s="5" customFormat="1" ht="8.25" customHeight="1">
      <c r="A47" s="16" t="s">
        <v>93</v>
      </c>
      <c r="B47" s="24" t="s">
        <v>4</v>
      </c>
      <c r="C47" s="25" t="s">
        <v>86</v>
      </c>
      <c r="D47" s="32"/>
      <c r="E47" s="37"/>
      <c r="F47" s="32"/>
      <c r="G47" s="39"/>
      <c r="H47" s="32">
        <f t="shared" si="2"/>
        <v>0</v>
      </c>
      <c r="I47" s="32">
        <f t="shared" si="3"/>
        <v>0</v>
      </c>
      <c r="J47" s="52" t="e">
        <f>'[2]стр.1'!D47</f>
        <v>#REF!</v>
      </c>
      <c r="K47" s="52" t="e">
        <f>'[2]стр.1'!E47</f>
        <v>#REF!</v>
      </c>
      <c r="L47" s="52" t="e">
        <f>'[2]стр.1'!F47</f>
        <v>#REF!</v>
      </c>
      <c r="M47" s="52" t="e">
        <f>'[2]стр.1'!G47</f>
        <v>#REF!</v>
      </c>
      <c r="N47" s="52">
        <f>'[2]стр.1'!H47</f>
        <v>0</v>
      </c>
      <c r="O47" s="52">
        <f>'[2]стр.1'!I47</f>
        <v>0</v>
      </c>
      <c r="P47" s="53"/>
    </row>
    <row r="48" spans="1:16" s="5" customFormat="1" ht="16.5" customHeight="1">
      <c r="A48" s="17" t="s">
        <v>94</v>
      </c>
      <c r="B48" s="24" t="s">
        <v>4</v>
      </c>
      <c r="C48" s="25" t="s">
        <v>87</v>
      </c>
      <c r="D48" s="32">
        <f>-('[3]ЭФ-2018'!$P$155+'[3]ЭФ-2018'!$P$107)</f>
        <v>20752.96696</v>
      </c>
      <c r="E48" s="37"/>
      <c r="F48" s="52">
        <f>'[4]расчет НВВ на мощность'!$X$55</f>
        <v>10446.23102</v>
      </c>
      <c r="G48" s="39"/>
      <c r="H48" s="32">
        <f t="shared" si="2"/>
        <v>10446.23102</v>
      </c>
      <c r="I48" s="32">
        <f t="shared" si="3"/>
        <v>10306.735940000002</v>
      </c>
      <c r="J48" s="52">
        <f>'[2]стр.1'!D48</f>
        <v>19391.337059999998</v>
      </c>
      <c r="K48" s="52" t="e">
        <f>'[2]стр.1'!E48</f>
        <v>#REF!</v>
      </c>
      <c r="L48" s="52">
        <f>'[2]стр.1'!F48</f>
        <v>6897.44375</v>
      </c>
      <c r="M48" s="52" t="e">
        <f>'[2]стр.1'!G48</f>
        <v>#REF!</v>
      </c>
      <c r="N48" s="52">
        <f>'[2]стр.1'!H48</f>
        <v>6897.44375</v>
      </c>
      <c r="O48" s="52">
        <f>'[2]стр.1'!I48</f>
        <v>12493.893309999998</v>
      </c>
      <c r="P48" s="53"/>
    </row>
    <row r="49" spans="1:16" s="5" customFormat="1" ht="16.5" customHeight="1">
      <c r="A49" s="17" t="s">
        <v>95</v>
      </c>
      <c r="B49" s="24" t="s">
        <v>4</v>
      </c>
      <c r="C49" s="25" t="s">
        <v>88</v>
      </c>
      <c r="D49" s="32">
        <f>-'[3]ЭФ-2018'!$P$172</f>
        <v>87834.21338000002</v>
      </c>
      <c r="E49" s="37"/>
      <c r="F49" s="52">
        <f>'[4]расчет НВВ на мощность'!$X$41</f>
        <v>7756.62647</v>
      </c>
      <c r="G49" s="52">
        <f>-'[6]стр.1'!$G$28</f>
        <v>487.56546999999995</v>
      </c>
      <c r="H49" s="32">
        <f t="shared" si="2"/>
        <v>8244.19194</v>
      </c>
      <c r="I49" s="32">
        <f t="shared" si="3"/>
        <v>79590.02144000001</v>
      </c>
      <c r="J49" s="52">
        <f>'[2]стр.1'!D49</f>
        <v>85272.40867</v>
      </c>
      <c r="K49" s="52" t="e">
        <f>'[2]стр.1'!E49</f>
        <v>#REF!</v>
      </c>
      <c r="L49" s="52">
        <f>'[2]стр.1'!F49</f>
        <v>8093.00996</v>
      </c>
      <c r="M49" s="52">
        <f>'[2]стр.1'!G49</f>
        <v>627.1633499999999</v>
      </c>
      <c r="N49" s="52">
        <f>'[2]стр.1'!H49</f>
        <v>8720.17331</v>
      </c>
      <c r="O49" s="52">
        <f>'[2]стр.1'!I49</f>
        <v>76552.23536</v>
      </c>
      <c r="P49" s="53"/>
    </row>
    <row r="50" spans="1:16" s="5" customFormat="1" ht="8.25" customHeight="1">
      <c r="A50" s="17" t="s">
        <v>90</v>
      </c>
      <c r="B50" s="24" t="s">
        <v>4</v>
      </c>
      <c r="C50" s="25" t="s">
        <v>89</v>
      </c>
      <c r="D50" s="52">
        <f>-('[6]стр.1'!$D$22+'[6]стр.1'!$D$24)-D22-D30-D35-D43-D44-D45-D48</f>
        <v>2044111.4537699996</v>
      </c>
      <c r="E50" s="37"/>
      <c r="F50" s="52">
        <f>'[4]расчет НВВ на мощность'!$X$18+'[4]расчет НВВ на мощность'!$X$22+'[4]расчет НВВ на мощность'!$X$53+'[4]расчет НВВ на мощность'!$X$40+'[4]расчет НВВ на мощность'!$X$42+'[4]расчет НВВ на мощность'!$X$43-F31</f>
        <v>32900.29567</v>
      </c>
      <c r="G50" s="52">
        <f>'[7]20.01 ТП за 2018'!$E$20/1000-G44-G43-G35-G22</f>
        <v>830.5029099999995</v>
      </c>
      <c r="H50" s="32">
        <f t="shared" si="2"/>
        <v>33730.79858</v>
      </c>
      <c r="I50" s="32">
        <f t="shared" si="3"/>
        <v>2010380.6551899996</v>
      </c>
      <c r="J50" s="52">
        <f>'[2]стр.1'!D50</f>
        <v>2222886.4856700003</v>
      </c>
      <c r="K50" s="52" t="e">
        <f>'[2]стр.1'!E50</f>
        <v>#REF!</v>
      </c>
      <c r="L50" s="52">
        <f>'[2]стр.1'!F50</f>
        <v>23531.41108</v>
      </c>
      <c r="M50" s="52">
        <f>'[2]стр.1'!G50</f>
        <v>3393.8293700000004</v>
      </c>
      <c r="N50" s="52">
        <f>'[2]стр.1'!H50</f>
        <v>26925.24045</v>
      </c>
      <c r="O50" s="52">
        <f>'[2]стр.1'!I50</f>
        <v>2195961.2452200004</v>
      </c>
      <c r="P50" s="53"/>
    </row>
    <row r="51" spans="1:16" s="5" customFormat="1" ht="32.25" customHeight="1">
      <c r="A51" s="50" t="s">
        <v>96</v>
      </c>
      <c r="B51" s="46" t="s">
        <v>4</v>
      </c>
      <c r="C51" s="51" t="s">
        <v>29</v>
      </c>
      <c r="D51" s="47">
        <f>D52+D53+D54+D55+D56</f>
        <v>1056259.5930700004</v>
      </c>
      <c r="E51" s="49">
        <f aca="true" t="shared" si="7" ref="E51:P51">E52+E53+E54+E55+E56</f>
        <v>0</v>
      </c>
      <c r="F51" s="47">
        <f t="shared" si="7"/>
        <v>109061.80257353852</v>
      </c>
      <c r="G51" s="47">
        <f>G52+G53+G54+G55+G56</f>
        <v>29799.093286461473</v>
      </c>
      <c r="H51" s="47">
        <f t="shared" si="7"/>
        <v>138860.89586000002</v>
      </c>
      <c r="I51" s="47">
        <f t="shared" si="7"/>
        <v>917398.6972100002</v>
      </c>
      <c r="J51" s="52" t="e">
        <f t="shared" si="7"/>
        <v>#REF!</v>
      </c>
      <c r="K51" s="53" t="e">
        <f t="shared" si="7"/>
        <v>#REF!</v>
      </c>
      <c r="L51" s="52" t="e">
        <f t="shared" si="7"/>
        <v>#REF!</v>
      </c>
      <c r="M51" s="52" t="e">
        <f t="shared" si="7"/>
        <v>#REF!</v>
      </c>
      <c r="N51" s="52">
        <f t="shared" si="7"/>
        <v>71150.24749000001</v>
      </c>
      <c r="O51" s="52">
        <f t="shared" si="7"/>
        <v>151259.188</v>
      </c>
      <c r="P51" s="53">
        <f t="shared" si="7"/>
        <v>0</v>
      </c>
    </row>
    <row r="52" spans="1:16" s="5" customFormat="1" ht="8.25" customHeight="1">
      <c r="A52" s="17" t="s">
        <v>97</v>
      </c>
      <c r="B52" s="24" t="s">
        <v>4</v>
      </c>
      <c r="C52" s="25" t="s">
        <v>30</v>
      </c>
      <c r="D52" s="34"/>
      <c r="E52" s="38"/>
      <c r="F52" s="32"/>
      <c r="G52" s="39"/>
      <c r="H52" s="28">
        <f t="shared" si="2"/>
        <v>0</v>
      </c>
      <c r="I52" s="28">
        <f t="shared" si="3"/>
        <v>0</v>
      </c>
      <c r="J52" s="52" t="e">
        <f>'[2]стр.1'!D52</f>
        <v>#REF!</v>
      </c>
      <c r="K52" s="52" t="e">
        <f>'[2]стр.1'!E52</f>
        <v>#REF!</v>
      </c>
      <c r="L52" s="52" t="e">
        <f>'[2]стр.1'!F52</f>
        <v>#REF!</v>
      </c>
      <c r="M52" s="52" t="e">
        <f>'[2]стр.1'!G52</f>
        <v>#REF!</v>
      </c>
      <c r="N52" s="52">
        <f>'[2]стр.1'!H52</f>
        <v>0</v>
      </c>
      <c r="O52" s="52">
        <f>'[2]стр.1'!I52</f>
        <v>0</v>
      </c>
      <c r="P52" s="53"/>
    </row>
    <row r="53" spans="1:16" s="5" customFormat="1" ht="8.25" customHeight="1">
      <c r="A53" s="17" t="s">
        <v>37</v>
      </c>
      <c r="B53" s="24" t="s">
        <v>4</v>
      </c>
      <c r="C53" s="25" t="s">
        <v>98</v>
      </c>
      <c r="D53" s="63">
        <f>'[4]расчет НВВ на мощность'!$X$69+'[4]расчет НВВ на мощность'!$X$63</f>
        <v>123155.42921</v>
      </c>
      <c r="E53" s="38"/>
      <c r="F53" s="59">
        <f>'[4]расчет НВВ на мощность'!$X$69+'[4]расчет НВВ на мощность'!$X$63-G53</f>
        <v>105957.41447353852</v>
      </c>
      <c r="G53" s="62">
        <f>'[6]стр.1'!$G$33</f>
        <v>17198.014736461475</v>
      </c>
      <c r="H53" s="42">
        <f t="shared" si="2"/>
        <v>123155.42921</v>
      </c>
      <c r="I53" s="42">
        <f t="shared" si="3"/>
        <v>0</v>
      </c>
      <c r="J53" s="52">
        <f>'[2]стр.1'!D53</f>
        <v>213698.8129</v>
      </c>
      <c r="K53" s="52" t="e">
        <f>'[2]стр.1'!E53</f>
        <v>#REF!</v>
      </c>
      <c r="L53" s="52">
        <f>'[2]стр.1'!F53</f>
        <v>24389.29334</v>
      </c>
      <c r="M53" s="52">
        <f>'[2]стр.1'!G53</f>
        <v>45669.540080000006</v>
      </c>
      <c r="N53" s="52">
        <f>'[2]стр.1'!H53</f>
        <v>70058.83342000001</v>
      </c>
      <c r="O53" s="52">
        <f>'[2]стр.1'!I53</f>
        <v>143639.97947999998</v>
      </c>
      <c r="P53" s="53"/>
    </row>
    <row r="54" spans="1:16" s="5" customFormat="1" ht="8.25" customHeight="1">
      <c r="A54" s="17" t="s">
        <v>102</v>
      </c>
      <c r="B54" s="24" t="s">
        <v>4</v>
      </c>
      <c r="C54" s="25" t="s">
        <v>99</v>
      </c>
      <c r="D54" s="64"/>
      <c r="E54" s="34"/>
      <c r="F54" s="32"/>
      <c r="G54" s="39"/>
      <c r="H54" s="28">
        <f t="shared" si="2"/>
        <v>0</v>
      </c>
      <c r="I54" s="28">
        <f t="shared" si="3"/>
        <v>0</v>
      </c>
      <c r="J54" s="52" t="e">
        <f>'[2]стр.1'!D54</f>
        <v>#REF!</v>
      </c>
      <c r="K54" s="52" t="e">
        <f>'[2]стр.1'!E54</f>
        <v>#REF!</v>
      </c>
      <c r="L54" s="52" t="e">
        <f>'[2]стр.1'!F54</f>
        <v>#REF!</v>
      </c>
      <c r="M54" s="52" t="e">
        <f>'[2]стр.1'!G54</f>
        <v>#REF!</v>
      </c>
      <c r="N54" s="52">
        <f>'[2]стр.1'!H54</f>
        <v>0</v>
      </c>
      <c r="O54" s="52">
        <f>'[2]стр.1'!I54</f>
        <v>0</v>
      </c>
      <c r="P54" s="53"/>
    </row>
    <row r="55" spans="1:16" s="5" customFormat="1" ht="8.25" customHeight="1">
      <c r="A55" s="17" t="s">
        <v>103</v>
      </c>
      <c r="B55" s="24" t="s">
        <v>4</v>
      </c>
      <c r="C55" s="25" t="s">
        <v>100</v>
      </c>
      <c r="D55" s="52">
        <f>('[3]Сальдо ДиР итого'!$O$43+'[3]Сальдо ДиР итого'!$O$45+'[3]Сальдо ДиР итого'!$O$52+'[3]Сальдо ДиР итого'!$O$53+'[3]Сальдо ДиР итого'!$O$60+'[3]Сальдо ДиР итого'!$O$71)</f>
        <v>4972.3316</v>
      </c>
      <c r="E55" s="32"/>
      <c r="F55" s="52">
        <f>'[4]расчет НВВ на мощность'!$X$46</f>
        <v>566.5903</v>
      </c>
      <c r="G55" s="52">
        <f>('[7]91,02,1 ТП за 2018'!$E$19+'[7]91,02,1 ТП за 2018'!$E$22+'[7]91,02,1 ТП за 2018'!$E$26+'[7]91,02,1 ТП за 2018'!$E$27+'[7]91,02,1 ТП за 2018'!$E$35+'[7]91,02,1 ТП за 2018'!$E$49+'[7]91,02,1 ТП за 2018'!$E$56+'[7]91,02,1 ТП за 2018'!$E$60+'[7]91,02,1 ТП за 2018'!$E$63)/1000</f>
        <v>24.613030000000002</v>
      </c>
      <c r="H55" s="32">
        <f t="shared" si="2"/>
        <v>591.2033299999999</v>
      </c>
      <c r="I55" s="32">
        <f t="shared" si="3"/>
        <v>4381.12827</v>
      </c>
      <c r="J55" s="52">
        <f>'[2]стр.1'!D55</f>
        <v>5928.315930000001</v>
      </c>
      <c r="K55" s="52" t="e">
        <f>'[2]стр.1'!E55</f>
        <v>#REF!</v>
      </c>
      <c r="L55" s="52">
        <f>'[2]стр.1'!F55</f>
        <v>460.44932000000006</v>
      </c>
      <c r="M55" s="52">
        <f>'[2]стр.1'!G55</f>
        <v>7.85322</v>
      </c>
      <c r="N55" s="52">
        <f>'[2]стр.1'!H55</f>
        <v>468.3025400000001</v>
      </c>
      <c r="O55" s="52">
        <f>'[2]стр.1'!I55</f>
        <v>5460.013390000001</v>
      </c>
      <c r="P55" s="53"/>
    </row>
    <row r="56" spans="1:16" s="5" customFormat="1" ht="8.25" customHeight="1">
      <c r="A56" s="17" t="s">
        <v>104</v>
      </c>
      <c r="B56" s="24" t="s">
        <v>4</v>
      </c>
      <c r="C56" s="25" t="s">
        <v>101</v>
      </c>
      <c r="D56" s="32">
        <f>-'[6]стр.1'!$D$30-D55</f>
        <v>928131.8322600003</v>
      </c>
      <c r="E56" s="32"/>
      <c r="F56" s="52">
        <f>'[4]расчет НВВ на мощность'!$X$48</f>
        <v>2537.7978000000003</v>
      </c>
      <c r="G56" s="52">
        <f>('[7]91,02,1 ТП за 2018'!$E$12)/1000-G55-G49</f>
        <v>12576.46552</v>
      </c>
      <c r="H56" s="32">
        <f t="shared" si="2"/>
        <v>15114.26332</v>
      </c>
      <c r="I56" s="32">
        <f t="shared" si="3"/>
        <v>913017.5689400003</v>
      </c>
      <c r="J56" s="52">
        <f>'[2]стр.1'!D56</f>
        <v>2782.30666</v>
      </c>
      <c r="K56" s="52" t="e">
        <f>'[2]стр.1'!E56</f>
        <v>#REF!</v>
      </c>
      <c r="L56" s="52">
        <f>'[2]стр.1'!F56</f>
        <v>608.69344</v>
      </c>
      <c r="M56" s="52">
        <f>'[2]стр.1'!G56</f>
        <v>14.41809</v>
      </c>
      <c r="N56" s="52">
        <f>'[2]стр.1'!H56</f>
        <v>623.11153</v>
      </c>
      <c r="O56" s="52">
        <f>'[2]стр.1'!I56</f>
        <v>2159.19513</v>
      </c>
      <c r="P56" s="53"/>
    </row>
    <row r="57" spans="1:22" s="5" customFormat="1" ht="8.25" customHeight="1">
      <c r="A57" s="21" t="s">
        <v>105</v>
      </c>
      <c r="B57" s="24" t="s">
        <v>4</v>
      </c>
      <c r="C57" s="25" t="s">
        <v>31</v>
      </c>
      <c r="D57" s="32">
        <f>-'[3]ЭФ-2018'!$P$178</f>
        <v>53843.81</v>
      </c>
      <c r="E57" s="32"/>
      <c r="F57" s="52">
        <f>-'[6]стр.1'!$F$32</f>
        <v>21377.64180411306</v>
      </c>
      <c r="G57" s="52">
        <f>-'[6]стр.1'!$G$32</f>
        <v>2966.8895235385207</v>
      </c>
      <c r="H57" s="32">
        <f t="shared" si="2"/>
        <v>24344.53132765158</v>
      </c>
      <c r="I57" s="32">
        <f t="shared" si="3"/>
        <v>29499.278672348417</v>
      </c>
      <c r="J57" s="52">
        <f>'[2]стр.1'!D57</f>
        <v>61614.01500000001</v>
      </c>
      <c r="K57" s="52" t="e">
        <f>'[2]стр.1'!E57</f>
        <v>#REF!</v>
      </c>
      <c r="L57" s="52">
        <f>'[2]стр.1'!F57</f>
        <v>27064.84277599999</v>
      </c>
      <c r="M57" s="52">
        <f>'[2]стр.1'!G57</f>
        <v>1750.5888500000005</v>
      </c>
      <c r="N57" s="52">
        <f>'[2]стр.1'!H57</f>
        <v>28815.43162599999</v>
      </c>
      <c r="O57" s="52">
        <f>'[2]стр.1'!I57</f>
        <v>32798.583374000016</v>
      </c>
      <c r="P57" s="53"/>
      <c r="Q57" s="33">
        <f>F21+F51-F24+F57</f>
        <v>383208.59943765163</v>
      </c>
      <c r="R57" s="30">
        <f>'[4]расчет НВВ на мощность'!$X$77-G57-G53</f>
        <v>383208.5994376516</v>
      </c>
      <c r="S57" s="30">
        <f>Q57-R57</f>
        <v>0</v>
      </c>
      <c r="T57" s="36"/>
      <c r="U57" s="33"/>
      <c r="V57" s="33"/>
    </row>
    <row r="58" spans="1:22" s="11" customFormat="1" ht="9.75">
      <c r="A58" s="23" t="s">
        <v>34</v>
      </c>
      <c r="B58" s="22"/>
      <c r="C58" s="22"/>
      <c r="D58" s="22"/>
      <c r="E58" s="22"/>
      <c r="F58" s="22"/>
      <c r="G58" s="41"/>
      <c r="H58" s="22"/>
      <c r="I58" s="22">
        <f t="shared" si="3"/>
        <v>0</v>
      </c>
      <c r="J58" s="55"/>
      <c r="K58" s="55"/>
      <c r="L58" s="55"/>
      <c r="M58" s="55"/>
      <c r="N58" s="55"/>
      <c r="O58" s="55">
        <f>J58-N58</f>
        <v>0</v>
      </c>
      <c r="P58" s="55"/>
      <c r="Q58" s="35">
        <f>D21+D51-D53</f>
        <v>4653877.92026</v>
      </c>
      <c r="R58" s="35">
        <f>'[6]стр.1'!$D$22+'[6]стр.1'!$D$24+'[6]стр.1'!$D$28+'[6]стр.1'!$D$30</f>
        <v>-4653877.92026</v>
      </c>
      <c r="S58" s="35">
        <f>Q58+R58</f>
        <v>0</v>
      </c>
      <c r="T58" s="36"/>
      <c r="U58" s="36"/>
      <c r="V58" s="35"/>
    </row>
    <row r="59" spans="1:22" s="5" customFormat="1" ht="8.25" customHeight="1">
      <c r="A59" s="50" t="s">
        <v>41</v>
      </c>
      <c r="B59" s="46" t="s">
        <v>4</v>
      </c>
      <c r="C59" s="51" t="s">
        <v>32</v>
      </c>
      <c r="D59" s="47">
        <f>D21-D60</f>
        <v>3531265.966689999</v>
      </c>
      <c r="E59" s="45"/>
      <c r="F59" s="47">
        <f>F21-F60</f>
        <v>536922.36535</v>
      </c>
      <c r="G59" s="47">
        <f>G21-G60</f>
        <v>5859.67972</v>
      </c>
      <c r="H59" s="47">
        <f t="shared" si="2"/>
        <v>542782.04507</v>
      </c>
      <c r="I59" s="47">
        <f t="shared" si="3"/>
        <v>2988483.921619999</v>
      </c>
      <c r="J59" s="52" t="e">
        <f>J21-J60</f>
        <v>#REF!</v>
      </c>
      <c r="K59" s="53"/>
      <c r="L59" s="52" t="e">
        <f>L21-L60</f>
        <v>#REF!</v>
      </c>
      <c r="M59" s="52" t="e">
        <f>M21-M60</f>
        <v>#REF!</v>
      </c>
      <c r="N59" s="52" t="e">
        <f>L59+M59</f>
        <v>#REF!</v>
      </c>
      <c r="O59" s="52" t="e">
        <f>J59-N59</f>
        <v>#REF!</v>
      </c>
      <c r="P59" s="53"/>
      <c r="Q59" s="5">
        <f>G21+G51</f>
        <v>36274.98766646147</v>
      </c>
      <c r="R59" s="30">
        <f>'[1]Лист1'!$F$74</f>
        <v>6015.38546</v>
      </c>
      <c r="S59" s="30">
        <f>R59-Q59</f>
        <v>-30259.60220646147</v>
      </c>
      <c r="T59" s="33"/>
      <c r="U59" s="30"/>
      <c r="V59" s="30"/>
    </row>
    <row r="60" spans="1:22" s="5" customFormat="1" ht="8.25" customHeight="1">
      <c r="A60" s="21" t="s">
        <v>42</v>
      </c>
      <c r="B60" s="24" t="s">
        <v>4</v>
      </c>
      <c r="C60" s="25" t="s">
        <v>33</v>
      </c>
      <c r="D60" s="54">
        <f>-'[3]ЭФ-10_АУР (ИД)'!$P$13</f>
        <v>189507.78971</v>
      </c>
      <c r="E60" s="28"/>
      <c r="F60" s="52">
        <f>'[8]факт 2018'!$O$294</f>
        <v>23490.05775</v>
      </c>
      <c r="G60" s="52">
        <f>'[7]20.01 ТП за 2018'!$E$19/1000</f>
        <v>616.21466</v>
      </c>
      <c r="H60" s="32">
        <f t="shared" si="2"/>
        <v>24106.27241</v>
      </c>
      <c r="I60" s="32">
        <f t="shared" si="3"/>
        <v>165401.5173</v>
      </c>
      <c r="J60" s="52">
        <f>'[2]стр.1'!D60</f>
        <v>178014.93593</v>
      </c>
      <c r="K60" s="52" t="e">
        <f>'[2]стр.1'!E60</f>
        <v>#REF!</v>
      </c>
      <c r="L60" s="52">
        <f>'[2]стр.1'!F60</f>
        <v>22266.85759</v>
      </c>
      <c r="M60" s="52">
        <f>'[2]стр.1'!G60</f>
        <v>1636.3644700000002</v>
      </c>
      <c r="N60" s="52">
        <f>'[2]стр.1'!H60</f>
        <v>23903.22206</v>
      </c>
      <c r="O60" s="52">
        <f>'[2]стр.1'!I60</f>
        <v>154111.71387</v>
      </c>
      <c r="P60" s="53"/>
      <c r="R60" s="5">
        <f>'[6]стр.1'!$G$22+'[6]стр.1'!$G$28+'[6]стр.1'!$G$30</f>
        <v>-21285.36275</v>
      </c>
      <c r="S60" s="5">
        <f>Q59+R60</f>
        <v>14989.624916461471</v>
      </c>
      <c r="U60" s="30"/>
      <c r="V60" s="30"/>
    </row>
    <row r="61" spans="1:19" s="5" customFormat="1" ht="34.5" customHeight="1">
      <c r="A61" s="21" t="s">
        <v>59</v>
      </c>
      <c r="B61" s="24" t="s">
        <v>4</v>
      </c>
      <c r="C61" s="25" t="s">
        <v>38</v>
      </c>
      <c r="D61" s="24"/>
      <c r="E61" s="24"/>
      <c r="F61" s="32"/>
      <c r="G61" s="39"/>
      <c r="H61" s="32">
        <f t="shared" si="2"/>
        <v>0</v>
      </c>
      <c r="I61" s="32">
        <f t="shared" si="3"/>
        <v>0</v>
      </c>
      <c r="J61" s="52" t="e">
        <f>'[2]стр.1'!D61</f>
        <v>#REF!</v>
      </c>
      <c r="K61" s="52" t="e">
        <f>'[2]стр.1'!E61</f>
        <v>#REF!</v>
      </c>
      <c r="L61" s="52" t="e">
        <f>'[2]стр.1'!F61</f>
        <v>#REF!</v>
      </c>
      <c r="M61" s="52" t="e">
        <f>'[2]стр.1'!G61</f>
        <v>#REF!</v>
      </c>
      <c r="N61" s="52">
        <f>'[2]стр.1'!H61</f>
        <v>0</v>
      </c>
      <c r="O61" s="52">
        <f>'[2]стр.1'!I61</f>
        <v>0</v>
      </c>
      <c r="P61" s="53"/>
      <c r="S61" s="5">
        <v>-2526.63943</v>
      </c>
    </row>
    <row r="62" spans="1:19" s="5" customFormat="1" ht="16.5" customHeight="1">
      <c r="A62" s="50" t="s">
        <v>115</v>
      </c>
      <c r="B62" s="46" t="s">
        <v>4</v>
      </c>
      <c r="C62" s="51" t="s">
        <v>39</v>
      </c>
      <c r="D62" s="47">
        <f aca="true" t="shared" si="8" ref="D62:P62">D63+D64+D65+D66</f>
        <v>248692.93271000002</v>
      </c>
      <c r="E62" s="46">
        <f t="shared" si="8"/>
        <v>0</v>
      </c>
      <c r="F62" s="47">
        <f t="shared" si="8"/>
        <v>47610.32958</v>
      </c>
      <c r="G62" s="48">
        <f t="shared" si="8"/>
        <v>0</v>
      </c>
      <c r="H62" s="47">
        <f t="shared" si="8"/>
        <v>47610.32958</v>
      </c>
      <c r="I62" s="47">
        <f t="shared" si="8"/>
        <v>201082.60313</v>
      </c>
      <c r="J62" s="52" t="e">
        <f t="shared" si="8"/>
        <v>#REF!</v>
      </c>
      <c r="K62" s="53" t="e">
        <f t="shared" si="8"/>
        <v>#REF!</v>
      </c>
      <c r="L62" s="52" t="e">
        <f t="shared" si="8"/>
        <v>#REF!</v>
      </c>
      <c r="M62" s="52" t="e">
        <f t="shared" si="8"/>
        <v>#REF!</v>
      </c>
      <c r="N62" s="52">
        <f t="shared" si="8"/>
        <v>28200.07358</v>
      </c>
      <c r="O62" s="52">
        <f t="shared" si="8"/>
        <v>186529.56287000002</v>
      </c>
      <c r="P62" s="53">
        <f t="shared" si="8"/>
        <v>0</v>
      </c>
      <c r="R62" s="5">
        <f>L56/J56</f>
        <v>0.21877295150492146</v>
      </c>
      <c r="S62" s="5">
        <v>22.2713100000001</v>
      </c>
    </row>
    <row r="63" spans="1:18" s="5" customFormat="1" ht="7.5" customHeight="1">
      <c r="A63" s="17" t="s">
        <v>44</v>
      </c>
      <c r="B63" s="24" t="s">
        <v>4</v>
      </c>
      <c r="C63" s="25"/>
      <c r="D63" s="52">
        <f>-('[3]ЭФ-2018'!$P$119+'[3]ЭФ-2018'!$P$124)+'[9]% выполнения ПП (12 мес)'!$M$7+'[9]% выполнения ПП (12 мес)'!$F$15+'[9]% выполнения ПП (12 мес)'!$M$15</f>
        <v>93506.78116000001</v>
      </c>
      <c r="E63" s="24"/>
      <c r="F63" s="52">
        <f>'[4]расчет НВВ на мощность'!$X$21-F65</f>
        <v>21387.190179999998</v>
      </c>
      <c r="G63" s="39"/>
      <c r="H63" s="32">
        <f t="shared" si="2"/>
        <v>21387.190179999998</v>
      </c>
      <c r="I63" s="32">
        <f t="shared" si="3"/>
        <v>72119.59098000001</v>
      </c>
      <c r="J63" s="52">
        <f>'[2]стр.1'!D63</f>
        <v>81925.56808</v>
      </c>
      <c r="K63" s="52" t="e">
        <f>'[2]стр.1'!E63</f>
        <v>#REF!</v>
      </c>
      <c r="L63" s="52">
        <f>'[2]стр.1'!F63</f>
        <v>13878.991539999999</v>
      </c>
      <c r="M63" s="52" t="e">
        <f>'[2]стр.1'!G63</f>
        <v>#REF!</v>
      </c>
      <c r="N63" s="52">
        <f>'[2]стр.1'!H63</f>
        <v>13878.991539999999</v>
      </c>
      <c r="O63" s="52">
        <f>'[2]стр.1'!I63</f>
        <v>68046.57654</v>
      </c>
      <c r="P63" s="53"/>
      <c r="R63" s="5">
        <f>F56/D56</f>
        <v>0.002734307467744603</v>
      </c>
    </row>
    <row r="64" spans="1:16" s="5" customFormat="1" ht="8.25" customHeight="1">
      <c r="A64" s="17" t="s">
        <v>114</v>
      </c>
      <c r="B64" s="24" t="s">
        <v>4</v>
      </c>
      <c r="C64" s="25"/>
      <c r="D64" s="52">
        <f>-('[3]ЭФ-2018'!$P$120+'[3]ЭФ-2018'!$P$121+'[3]ЭФ-2018'!$P$125+'[3]ЭФ-2018'!$P$126)</f>
        <v>118942.1145</v>
      </c>
      <c r="E64" s="24"/>
      <c r="F64" s="52">
        <f>-('[3]ЭФ-2018_электроэнергия передача'!$P$120+'[3]ЭФ-2018_электроэнергия передача'!$P$121+'[3]ЭФ-2018_электроэнергия передача'!$P$125+'[3]ЭФ-2018_электроэнергия передача'!$P$126)</f>
        <v>17744.01646</v>
      </c>
      <c r="G64" s="39"/>
      <c r="H64" s="32">
        <f t="shared" si="2"/>
        <v>17744.01646</v>
      </c>
      <c r="I64" s="32">
        <f t="shared" si="3"/>
        <v>101198.09804</v>
      </c>
      <c r="J64" s="52">
        <f>'[2]стр.1'!D64</f>
        <v>108291.94144</v>
      </c>
      <c r="K64" s="52" t="e">
        <f>'[2]стр.1'!E64</f>
        <v>#REF!</v>
      </c>
      <c r="L64" s="52">
        <f>'[2]стр.1'!F64</f>
        <v>12056.24766</v>
      </c>
      <c r="M64" s="52" t="e">
        <f>'[2]стр.1'!G64</f>
        <v>#REF!</v>
      </c>
      <c r="N64" s="52">
        <f>'[2]стр.1'!H64</f>
        <v>12056.24766</v>
      </c>
      <c r="O64" s="52">
        <f>'[2]стр.1'!I64</f>
        <v>96235.69378</v>
      </c>
      <c r="P64" s="53"/>
    </row>
    <row r="65" spans="1:18" s="5" customFormat="1" ht="16.5" customHeight="1">
      <c r="A65" s="17" t="s">
        <v>45</v>
      </c>
      <c r="B65" s="24" t="s">
        <v>4</v>
      </c>
      <c r="C65" s="25"/>
      <c r="D65" s="52">
        <f>-('[3]ЭФ-2018'!$P$122+'[3]ЭФ-2018'!$P$127)</f>
        <v>36244.03705</v>
      </c>
      <c r="E65" s="24"/>
      <c r="F65" s="52">
        <f>F34</f>
        <v>8479.12294</v>
      </c>
      <c r="G65" s="39"/>
      <c r="H65" s="32">
        <f t="shared" si="2"/>
        <v>8479.12294</v>
      </c>
      <c r="I65" s="32">
        <f t="shared" si="3"/>
        <v>27764.914109999998</v>
      </c>
      <c r="J65" s="52">
        <f>'[2]стр.1'!D65</f>
        <v>24512.12693</v>
      </c>
      <c r="K65" s="52" t="e">
        <f>'[2]стр.1'!E65</f>
        <v>#REF!</v>
      </c>
      <c r="L65" s="52">
        <f>'[2]стр.1'!F65</f>
        <v>2264.8343800000002</v>
      </c>
      <c r="M65" s="52" t="e">
        <f>'[2]стр.1'!G65</f>
        <v>#REF!</v>
      </c>
      <c r="N65" s="52">
        <f>'[2]стр.1'!H65</f>
        <v>2264.8343800000002</v>
      </c>
      <c r="O65" s="52">
        <f>'[2]стр.1'!I65</f>
        <v>22247.29255</v>
      </c>
      <c r="P65" s="53"/>
      <c r="R65" s="5">
        <f>'[6]стр.1'!$D$22</f>
        <v>-3555273.407549999</v>
      </c>
    </row>
    <row r="66" spans="1:16" s="5" customFormat="1" ht="12" customHeight="1">
      <c r="A66" s="17" t="s">
        <v>46</v>
      </c>
      <c r="B66" s="24" t="s">
        <v>4</v>
      </c>
      <c r="C66" s="25"/>
      <c r="D66" s="24"/>
      <c r="E66" s="24"/>
      <c r="F66" s="32"/>
      <c r="G66" s="39"/>
      <c r="H66" s="32">
        <f t="shared" si="2"/>
        <v>0</v>
      </c>
      <c r="I66" s="32">
        <f t="shared" si="3"/>
        <v>0</v>
      </c>
      <c r="J66" s="52" t="e">
        <f>'[2]стр.1'!D66</f>
        <v>#REF!</v>
      </c>
      <c r="K66" s="52" t="e">
        <f>'[2]стр.1'!E66</f>
        <v>#REF!</v>
      </c>
      <c r="L66" s="52" t="e">
        <f>'[2]стр.1'!F66</f>
        <v>#REF!</v>
      </c>
      <c r="M66" s="52" t="e">
        <f>'[2]стр.1'!G66</f>
        <v>#REF!</v>
      </c>
      <c r="N66" s="52">
        <f>'[2]стр.1'!H66</f>
        <v>0</v>
      </c>
      <c r="O66" s="52">
        <f>'[2]стр.1'!I66</f>
        <v>0</v>
      </c>
      <c r="P66" s="53"/>
    </row>
    <row r="67" spans="1:16" s="5" customFormat="1" ht="24.75" customHeight="1">
      <c r="A67" s="17" t="s">
        <v>107</v>
      </c>
      <c r="B67" s="24" t="s">
        <v>4</v>
      </c>
      <c r="C67" s="25" t="s">
        <v>40</v>
      </c>
      <c r="D67" s="24"/>
      <c r="E67" s="24"/>
      <c r="F67" s="32"/>
      <c r="G67" s="39"/>
      <c r="H67" s="32">
        <f t="shared" si="2"/>
        <v>0</v>
      </c>
      <c r="I67" s="32">
        <f t="shared" si="3"/>
        <v>0</v>
      </c>
      <c r="J67" s="52" t="e">
        <f>'[2]стр.1'!D67</f>
        <v>#REF!</v>
      </c>
      <c r="K67" s="52" t="e">
        <f>'[2]стр.1'!E67</f>
        <v>#REF!</v>
      </c>
      <c r="L67" s="52" t="e">
        <f>'[2]стр.1'!F67</f>
        <v>#REF!</v>
      </c>
      <c r="M67" s="52" t="e">
        <f>'[2]стр.1'!G67</f>
        <v>#REF!</v>
      </c>
      <c r="N67" s="52">
        <f>'[2]стр.1'!H67</f>
        <v>0</v>
      </c>
      <c r="O67" s="52">
        <f>'[2]стр.1'!I67</f>
        <v>0</v>
      </c>
      <c r="P67" s="53"/>
    </row>
    <row r="68" ht="3" customHeight="1"/>
    <row r="69" s="8" customFormat="1" ht="7.5" customHeight="1">
      <c r="A69" s="15" t="s">
        <v>122</v>
      </c>
    </row>
    <row r="70" s="2" customFormat="1" ht="7.5" customHeight="1">
      <c r="A70" s="14" t="s">
        <v>123</v>
      </c>
    </row>
    <row r="71" s="2" customFormat="1" ht="7.5" customHeight="1">
      <c r="A71" s="14" t="s">
        <v>124</v>
      </c>
    </row>
    <row r="72" s="8" customFormat="1" ht="8.25" customHeight="1">
      <c r="A72" s="15" t="s">
        <v>125</v>
      </c>
    </row>
    <row r="73" s="8" customFormat="1" ht="9" customHeight="1">
      <c r="A73" s="12"/>
    </row>
    <row r="74" spans="1:16" s="13" customFormat="1" ht="7.5" customHeight="1">
      <c r="A74" s="132" t="s">
        <v>50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1:16" s="9" customFormat="1" ht="9" customHeight="1">
      <c r="A75" s="130" t="s">
        <v>0</v>
      </c>
      <c r="B75" s="130" t="s">
        <v>1</v>
      </c>
      <c r="C75" s="130" t="s">
        <v>2</v>
      </c>
      <c r="D75" s="130" t="s">
        <v>113</v>
      </c>
      <c r="E75" s="130" t="s">
        <v>121</v>
      </c>
      <c r="F75" s="125" t="s">
        <v>117</v>
      </c>
      <c r="G75" s="126"/>
      <c r="H75" s="126"/>
      <c r="I75" s="127"/>
      <c r="J75" s="130" t="s">
        <v>132</v>
      </c>
      <c r="K75" s="130" t="s">
        <v>120</v>
      </c>
      <c r="L75" s="125" t="s">
        <v>118</v>
      </c>
      <c r="M75" s="126"/>
      <c r="N75" s="126"/>
      <c r="O75" s="127"/>
      <c r="P75" s="128" t="s">
        <v>106</v>
      </c>
    </row>
    <row r="76" spans="1:16" s="9" customFormat="1" ht="77.25" customHeight="1">
      <c r="A76" s="131"/>
      <c r="B76" s="131"/>
      <c r="C76" s="131"/>
      <c r="D76" s="131"/>
      <c r="E76" s="131"/>
      <c r="F76" s="26" t="s">
        <v>133</v>
      </c>
      <c r="G76" s="26" t="s">
        <v>131</v>
      </c>
      <c r="H76" s="26" t="s">
        <v>134</v>
      </c>
      <c r="I76" s="26" t="s">
        <v>135</v>
      </c>
      <c r="J76" s="131"/>
      <c r="K76" s="131"/>
      <c r="L76" s="26" t="s">
        <v>133</v>
      </c>
      <c r="M76" s="26" t="s">
        <v>131</v>
      </c>
      <c r="N76" s="26" t="s">
        <v>136</v>
      </c>
      <c r="O76" s="26" t="s">
        <v>135</v>
      </c>
      <c r="P76" s="129"/>
    </row>
    <row r="77" spans="1:16" s="10" customFormat="1" ht="18.75" customHeight="1">
      <c r="A77" s="20">
        <v>1</v>
      </c>
      <c r="B77" s="20">
        <v>2</v>
      </c>
      <c r="C77" s="20">
        <v>3</v>
      </c>
      <c r="D77" s="20">
        <v>4</v>
      </c>
      <c r="E77" s="20">
        <v>5</v>
      </c>
      <c r="F77" s="20">
        <v>6</v>
      </c>
      <c r="G77" s="20">
        <v>7</v>
      </c>
      <c r="H77" s="27" t="s">
        <v>112</v>
      </c>
      <c r="I77" s="20">
        <v>9</v>
      </c>
      <c r="J77" s="20">
        <v>10</v>
      </c>
      <c r="K77" s="20">
        <v>11</v>
      </c>
      <c r="L77" s="20">
        <v>12</v>
      </c>
      <c r="M77" s="20">
        <v>13</v>
      </c>
      <c r="N77" s="27" t="s">
        <v>67</v>
      </c>
      <c r="O77" s="20">
        <v>15</v>
      </c>
      <c r="P77" s="20">
        <v>16</v>
      </c>
    </row>
    <row r="78" spans="1:18" s="5" customFormat="1" ht="11.25" customHeight="1">
      <c r="A78" s="21" t="s">
        <v>54</v>
      </c>
      <c r="B78" s="24" t="s">
        <v>4</v>
      </c>
      <c r="C78" s="25" t="s">
        <v>43</v>
      </c>
      <c r="D78" s="52">
        <f>'[2]стр.1'!$J$78</f>
        <v>1455432.95074</v>
      </c>
      <c r="E78" s="24"/>
      <c r="F78" s="24" t="s">
        <v>49</v>
      </c>
      <c r="G78" s="24" t="s">
        <v>49</v>
      </c>
      <c r="H78" s="24" t="s">
        <v>49</v>
      </c>
      <c r="I78" s="24" t="s">
        <v>49</v>
      </c>
      <c r="J78" s="52">
        <f>1080887125.32/1000</f>
        <v>1080887.1253199999</v>
      </c>
      <c r="K78" s="24"/>
      <c r="L78" s="24" t="s">
        <v>49</v>
      </c>
      <c r="M78" s="24" t="s">
        <v>49</v>
      </c>
      <c r="N78" s="24" t="s">
        <v>49</v>
      </c>
      <c r="O78" s="24" t="s">
        <v>49</v>
      </c>
      <c r="P78" s="24"/>
      <c r="Q78" s="5">
        <v>1464260000</v>
      </c>
      <c r="R78" s="5">
        <v>1455432950.7399998</v>
      </c>
    </row>
    <row r="79" spans="1:16" s="5" customFormat="1" ht="16.5">
      <c r="A79" s="17" t="s">
        <v>55</v>
      </c>
      <c r="B79" s="24" t="s">
        <v>4</v>
      </c>
      <c r="C79" s="25" t="s">
        <v>19</v>
      </c>
      <c r="D79" s="24" t="s">
        <v>49</v>
      </c>
      <c r="E79" s="24" t="s">
        <v>49</v>
      </c>
      <c r="F79" s="52">
        <f>'[2]стр.1'!$L$79</f>
        <v>29553.98752</v>
      </c>
      <c r="G79" s="52">
        <f>'[2]стр.1'!$M$79</f>
        <v>1784.36425</v>
      </c>
      <c r="H79" s="24" t="s">
        <v>49</v>
      </c>
      <c r="I79" s="24" t="s">
        <v>49</v>
      </c>
      <c r="J79" s="24" t="s">
        <v>49</v>
      </c>
      <c r="K79" s="24" t="s">
        <v>49</v>
      </c>
      <c r="L79" s="52">
        <f>47953202.13/1000</f>
        <v>47953.202130000005</v>
      </c>
      <c r="M79" s="52">
        <f>1815960.04/1000</f>
        <v>1815.96004</v>
      </c>
      <c r="N79" s="24" t="s">
        <v>49</v>
      </c>
      <c r="O79" s="24" t="s">
        <v>49</v>
      </c>
      <c r="P79" s="24"/>
    </row>
    <row r="80" spans="1:18" s="5" customFormat="1" ht="36" customHeight="1">
      <c r="A80" s="21" t="s">
        <v>109</v>
      </c>
      <c r="B80" s="24" t="s">
        <v>4</v>
      </c>
      <c r="C80" s="25" t="s">
        <v>47</v>
      </c>
      <c r="D80" s="24" t="s">
        <v>49</v>
      </c>
      <c r="E80" s="24" t="s">
        <v>49</v>
      </c>
      <c r="F80" s="24"/>
      <c r="G80" s="24"/>
      <c r="H80" s="24" t="s">
        <v>49</v>
      </c>
      <c r="I80" s="24" t="s">
        <v>49</v>
      </c>
      <c r="J80" s="24" t="s">
        <v>49</v>
      </c>
      <c r="K80" s="24" t="s">
        <v>49</v>
      </c>
      <c r="L80" s="24"/>
      <c r="M80" s="24"/>
      <c r="N80" s="24" t="s">
        <v>49</v>
      </c>
      <c r="O80" s="24" t="s">
        <v>49</v>
      </c>
      <c r="P80" s="24"/>
      <c r="R80" s="5">
        <v>1080887125.32</v>
      </c>
    </row>
    <row r="81" spans="1:16" s="5" customFormat="1" ht="35.25" customHeight="1">
      <c r="A81" s="21" t="s">
        <v>110</v>
      </c>
      <c r="B81" s="24" t="s">
        <v>4</v>
      </c>
      <c r="C81" s="25" t="s">
        <v>48</v>
      </c>
      <c r="D81" s="24" t="s">
        <v>49</v>
      </c>
      <c r="E81" s="24" t="s">
        <v>49</v>
      </c>
      <c r="F81" s="24"/>
      <c r="G81" s="24"/>
      <c r="H81" s="24" t="s">
        <v>49</v>
      </c>
      <c r="I81" s="24" t="s">
        <v>49</v>
      </c>
      <c r="J81" s="24" t="s">
        <v>49</v>
      </c>
      <c r="K81" s="24" t="s">
        <v>49</v>
      </c>
      <c r="L81" s="24"/>
      <c r="M81" s="24"/>
      <c r="N81" s="24" t="s">
        <v>49</v>
      </c>
      <c r="O81" s="24" t="s">
        <v>49</v>
      </c>
      <c r="P81" s="24"/>
    </row>
    <row r="82" spans="1:18" s="5" customFormat="1" ht="9.75" customHeight="1">
      <c r="A82" s="21" t="s">
        <v>56</v>
      </c>
      <c r="B82" s="24" t="s">
        <v>4</v>
      </c>
      <c r="C82" s="25" t="s">
        <v>51</v>
      </c>
      <c r="D82" s="52">
        <f>'[2]стр.1'!$J$82</f>
        <v>1085944.74712</v>
      </c>
      <c r="E82" s="24"/>
      <c r="F82" s="24" t="s">
        <v>49</v>
      </c>
      <c r="G82" s="24" t="s">
        <v>49</v>
      </c>
      <c r="H82" s="52">
        <f>'[2]стр.1'!$N$82</f>
        <v>532632.9162699999</v>
      </c>
      <c r="I82" s="54">
        <f>D82-H82</f>
        <v>553311.83085</v>
      </c>
      <c r="J82" s="52">
        <f>1483422710.81/1000</f>
        <v>1483422.7108099998</v>
      </c>
      <c r="K82" s="24"/>
      <c r="L82" s="24" t="s">
        <v>49</v>
      </c>
      <c r="M82" s="24" t="s">
        <v>49</v>
      </c>
      <c r="N82" s="52">
        <v>603413.5759</v>
      </c>
      <c r="O82" s="54">
        <f>J82-N82</f>
        <v>880009.1349099998</v>
      </c>
      <c r="P82" s="24"/>
      <c r="Q82" s="5">
        <v>966682000</v>
      </c>
      <c r="R82" s="5">
        <v>1085944747.12</v>
      </c>
    </row>
    <row r="83" spans="1:16" s="5" customFormat="1" ht="9.75" customHeight="1">
      <c r="A83" s="21" t="s">
        <v>111</v>
      </c>
      <c r="B83" s="24" t="s">
        <v>4</v>
      </c>
      <c r="C83" s="25" t="s">
        <v>52</v>
      </c>
      <c r="D83" s="24"/>
      <c r="E83" s="24"/>
      <c r="F83" s="24" t="s">
        <v>49</v>
      </c>
      <c r="G83" s="24" t="s">
        <v>49</v>
      </c>
      <c r="H83" s="24"/>
      <c r="I83" s="24"/>
      <c r="J83" s="24"/>
      <c r="K83" s="24"/>
      <c r="L83" s="24" t="s">
        <v>49</v>
      </c>
      <c r="M83" s="24" t="s">
        <v>49</v>
      </c>
      <c r="N83" s="24"/>
      <c r="O83" s="24"/>
      <c r="P83" s="24"/>
    </row>
    <row r="84" spans="1:16" s="5" customFormat="1" ht="10.5" customHeight="1">
      <c r="A84" s="21" t="s">
        <v>57</v>
      </c>
      <c r="B84" s="24" t="s">
        <v>4</v>
      </c>
      <c r="C84" s="25" t="s">
        <v>53</v>
      </c>
      <c r="D84" s="24"/>
      <c r="E84" s="24"/>
      <c r="F84" s="24" t="s">
        <v>49</v>
      </c>
      <c r="G84" s="24" t="s">
        <v>49</v>
      </c>
      <c r="H84" s="24"/>
      <c r="I84" s="24"/>
      <c r="J84" s="24"/>
      <c r="K84" s="24"/>
      <c r="L84" s="24" t="s">
        <v>49</v>
      </c>
      <c r="M84" s="24" t="s">
        <v>49</v>
      </c>
      <c r="N84" s="24"/>
      <c r="O84" s="24"/>
      <c r="P84" s="24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pans="1:18" s="2" customFormat="1" ht="7.5" customHeight="1">
      <c r="A88" s="14" t="s">
        <v>124</v>
      </c>
      <c r="R88" s="2">
        <v>1483422710.81</v>
      </c>
    </row>
    <row r="89" s="2" customFormat="1" ht="8.25"/>
    <row r="90" spans="1:16" s="4" customFormat="1" ht="13.5" customHeight="1">
      <c r="A90" s="4" t="s">
        <v>140</v>
      </c>
      <c r="L90" s="136"/>
      <c r="M90" s="136"/>
      <c r="N90" s="136"/>
      <c r="P90" s="43" t="s">
        <v>141</v>
      </c>
    </row>
    <row r="91" spans="12:16" s="2" customFormat="1" ht="7.5" customHeight="1">
      <c r="L91" s="137" t="s">
        <v>58</v>
      </c>
      <c r="M91" s="137"/>
      <c r="N91" s="137"/>
      <c r="P91" s="44"/>
    </row>
    <row r="92" spans="1:16" s="4" customFormat="1" ht="9" customHeight="1">
      <c r="A92" s="4" t="s">
        <v>139</v>
      </c>
      <c r="L92" s="136"/>
      <c r="M92" s="136"/>
      <c r="N92" s="136"/>
      <c r="P92" s="43" t="s">
        <v>142</v>
      </c>
    </row>
    <row r="93" spans="12:16" s="2" customFormat="1" ht="8.25" customHeight="1">
      <c r="L93" s="137" t="s">
        <v>58</v>
      </c>
      <c r="M93" s="137"/>
      <c r="N93" s="137"/>
      <c r="P93" s="19"/>
    </row>
    <row r="94" ht="3" customHeight="1"/>
    <row r="96" spans="10:16" ht="12.75">
      <c r="J96" s="56" t="e">
        <f>J21-'[2]стр.1'!D21</f>
        <v>#REF!</v>
      </c>
      <c r="K96" s="56" t="e">
        <f>K21-'[2]стр.1'!E21</f>
        <v>#REF!</v>
      </c>
      <c r="L96" s="56" t="e">
        <f>L21-'[2]стр.1'!F21</f>
        <v>#REF!</v>
      </c>
      <c r="M96" s="56" t="e">
        <f>M21-'[2]стр.1'!G21</f>
        <v>#REF!</v>
      </c>
      <c r="N96" s="56">
        <f>N21-'[2]стр.1'!H21</f>
        <v>0</v>
      </c>
      <c r="O96" s="56">
        <f>O21-'[2]стр.1'!I21</f>
        <v>0</v>
      </c>
      <c r="P96" s="56"/>
    </row>
  </sheetData>
  <sheetProtection/>
  <mergeCells count="32">
    <mergeCell ref="L15:P15"/>
    <mergeCell ref="L92:N92"/>
    <mergeCell ref="L93:N93"/>
    <mergeCell ref="L90:N90"/>
    <mergeCell ref="L91:N91"/>
    <mergeCell ref="F75:I75"/>
    <mergeCell ref="J75:J76"/>
    <mergeCell ref="K75:K76"/>
    <mergeCell ref="L75:O75"/>
    <mergeCell ref="J18:J19"/>
    <mergeCell ref="A3:P3"/>
    <mergeCell ref="A4:P4"/>
    <mergeCell ref="L11:P11"/>
    <mergeCell ref="L12:P12"/>
    <mergeCell ref="L13:P13"/>
    <mergeCell ref="L14:P14"/>
    <mergeCell ref="E75:E76"/>
    <mergeCell ref="A18:A19"/>
    <mergeCell ref="B18:B19"/>
    <mergeCell ref="C18:C19"/>
    <mergeCell ref="D18:D19"/>
    <mergeCell ref="E18:E19"/>
    <mergeCell ref="F18:I18"/>
    <mergeCell ref="P75:P76"/>
    <mergeCell ref="K18:K19"/>
    <mergeCell ref="L18:O18"/>
    <mergeCell ref="P18:P19"/>
    <mergeCell ref="A74:P74"/>
    <mergeCell ref="A75:A76"/>
    <mergeCell ref="B75:B76"/>
    <mergeCell ref="C75:C76"/>
    <mergeCell ref="D75:D7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7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Zeros="0" tabSelected="1" view="pageBreakPreview" zoomScale="140" zoomScaleSheetLayoutView="140" zoomScalePageLayoutView="0" workbookViewId="0" topLeftCell="A1">
      <selection activeCell="I24" sqref="I24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4.125" style="1" customWidth="1"/>
    <col min="4" max="4" width="12.75390625" style="1" customWidth="1"/>
    <col min="5" max="5" width="9.375" style="1" customWidth="1"/>
    <col min="6" max="6" width="10.625" style="1" customWidth="1"/>
    <col min="7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4" customFormat="1" ht="10.5">
      <c r="A4" s="133" t="s">
        <v>65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E11" s="61"/>
      <c r="F11" s="117"/>
      <c r="L11" s="134" t="s">
        <v>144</v>
      </c>
      <c r="M11" s="134"/>
      <c r="N11" s="134"/>
      <c r="O11" s="134"/>
      <c r="P11" s="134"/>
    </row>
    <row r="12" spans="1:16" s="2" customFormat="1" ht="8.25">
      <c r="A12" s="2" t="s">
        <v>12</v>
      </c>
      <c r="D12" s="117"/>
      <c r="E12" s="117"/>
      <c r="F12" s="117"/>
      <c r="G12" s="108"/>
      <c r="H12" s="61"/>
      <c r="L12" s="135" t="s">
        <v>145</v>
      </c>
      <c r="M12" s="135"/>
      <c r="N12" s="135"/>
      <c r="O12" s="135"/>
      <c r="P12" s="135"/>
    </row>
    <row r="13" spans="1:16" s="2" customFormat="1" ht="8.25">
      <c r="A13" s="2" t="s">
        <v>13</v>
      </c>
      <c r="F13" s="123"/>
      <c r="G13" s="57"/>
      <c r="H13" s="116"/>
      <c r="L13" s="135" t="s">
        <v>127</v>
      </c>
      <c r="M13" s="135"/>
      <c r="N13" s="135"/>
      <c r="O13" s="135"/>
      <c r="P13" s="135"/>
    </row>
    <row r="14" spans="1:16" s="2" customFormat="1" ht="8.25">
      <c r="A14" s="2" t="s">
        <v>63</v>
      </c>
      <c r="L14" s="135" t="s">
        <v>128</v>
      </c>
      <c r="M14" s="135"/>
      <c r="N14" s="135"/>
      <c r="O14" s="135"/>
      <c r="P14" s="135"/>
    </row>
    <row r="15" spans="1:16" s="2" customFormat="1" ht="8.25">
      <c r="A15" s="2" t="s">
        <v>14</v>
      </c>
      <c r="D15" s="57"/>
      <c r="F15" s="61"/>
      <c r="G15" s="61"/>
      <c r="L15" s="135" t="s">
        <v>146</v>
      </c>
      <c r="M15" s="135"/>
      <c r="N15" s="135"/>
      <c r="O15" s="135"/>
      <c r="P15" s="135"/>
    </row>
    <row r="16" spans="4:16" s="2" customFormat="1" ht="8.25">
      <c r="D16" s="57"/>
      <c r="F16" s="61"/>
      <c r="G16" s="117"/>
      <c r="H16" s="108"/>
      <c r="L16" s="6"/>
      <c r="M16" s="6"/>
      <c r="N16" s="6"/>
      <c r="O16" s="6"/>
      <c r="P16" s="6"/>
    </row>
    <row r="17" spans="2:8" s="2" customFormat="1" ht="30" customHeight="1">
      <c r="B17" s="122"/>
      <c r="D17" s="117"/>
      <c r="E17" s="124"/>
      <c r="F17" s="117"/>
      <c r="H17" s="108">
        <f>G16+G17</f>
        <v>0</v>
      </c>
    </row>
    <row r="18" spans="1:16" s="9" customFormat="1" ht="9" customHeight="1">
      <c r="A18" s="138" t="s">
        <v>0</v>
      </c>
      <c r="B18" s="138" t="s">
        <v>1</v>
      </c>
      <c r="C18" s="138" t="s">
        <v>2</v>
      </c>
      <c r="D18" s="138" t="s">
        <v>3</v>
      </c>
      <c r="E18" s="138" t="s">
        <v>121</v>
      </c>
      <c r="F18" s="138" t="s">
        <v>117</v>
      </c>
      <c r="G18" s="138"/>
      <c r="H18" s="138"/>
      <c r="I18" s="138"/>
      <c r="J18" s="138" t="s">
        <v>66</v>
      </c>
      <c r="K18" s="138" t="s">
        <v>120</v>
      </c>
      <c r="L18" s="138" t="s">
        <v>118</v>
      </c>
      <c r="M18" s="138"/>
      <c r="N18" s="138"/>
      <c r="O18" s="138"/>
      <c r="P18" s="138" t="s">
        <v>106</v>
      </c>
    </row>
    <row r="19" spans="1:16" s="9" customFormat="1" ht="72" customHeight="1">
      <c r="A19" s="138"/>
      <c r="B19" s="138"/>
      <c r="C19" s="138"/>
      <c r="D19" s="138"/>
      <c r="E19" s="138"/>
      <c r="F19" s="73" t="s">
        <v>130</v>
      </c>
      <c r="G19" s="73" t="s">
        <v>131</v>
      </c>
      <c r="H19" s="73" t="s">
        <v>138</v>
      </c>
      <c r="I19" s="73" t="s">
        <v>119</v>
      </c>
      <c r="J19" s="138"/>
      <c r="K19" s="138"/>
      <c r="L19" s="73" t="s">
        <v>133</v>
      </c>
      <c r="M19" s="73" t="s">
        <v>137</v>
      </c>
      <c r="N19" s="73" t="s">
        <v>138</v>
      </c>
      <c r="O19" s="73" t="s">
        <v>119</v>
      </c>
      <c r="P19" s="138"/>
    </row>
    <row r="20" spans="1:16" s="10" customFormat="1" ht="18.75" customHeight="1">
      <c r="A20" s="74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5" t="s">
        <v>112</v>
      </c>
      <c r="I20" s="74">
        <v>9</v>
      </c>
      <c r="J20" s="74">
        <v>10</v>
      </c>
      <c r="K20" s="74">
        <v>11</v>
      </c>
      <c r="L20" s="74">
        <v>12</v>
      </c>
      <c r="M20" s="74">
        <v>13</v>
      </c>
      <c r="N20" s="75" t="s">
        <v>67</v>
      </c>
      <c r="O20" s="74">
        <v>15</v>
      </c>
      <c r="P20" s="74">
        <v>16</v>
      </c>
    </row>
    <row r="21" spans="1:19" s="5" customFormat="1" ht="31.5" customHeight="1">
      <c r="A21" s="76" t="s">
        <v>68</v>
      </c>
      <c r="B21" s="77" t="s">
        <v>4</v>
      </c>
      <c r="C21" s="78" t="s">
        <v>5</v>
      </c>
      <c r="D21" s="79">
        <v>2493902.7324699997</v>
      </c>
      <c r="E21" s="79">
        <v>0</v>
      </c>
      <c r="F21" s="79">
        <v>633035.84158</v>
      </c>
      <c r="G21" s="79">
        <v>6189.075039999999</v>
      </c>
      <c r="H21" s="79">
        <v>639224.9166200001</v>
      </c>
      <c r="I21" s="79">
        <v>1854677.8158499997</v>
      </c>
      <c r="J21" s="79">
        <v>4056695.7409215337</v>
      </c>
      <c r="K21" s="79">
        <v>0</v>
      </c>
      <c r="L21" s="79">
        <v>570027.36347</v>
      </c>
      <c r="M21" s="79">
        <v>9421.208920000001</v>
      </c>
      <c r="N21" s="79">
        <v>579448.5723900001</v>
      </c>
      <c r="O21" s="79">
        <v>3477247.1685315343</v>
      </c>
      <c r="P21" s="80">
        <f>P22+P30+P35+P43+P44+P45+P48+P49+P50</f>
        <v>0</v>
      </c>
      <c r="Q21" s="33"/>
      <c r="R21" s="30"/>
      <c r="S21" s="30"/>
    </row>
    <row r="22" spans="1:16" s="5" customFormat="1" ht="12.75" customHeight="1">
      <c r="A22" s="82" t="s">
        <v>69</v>
      </c>
      <c r="B22" s="77" t="s">
        <v>4</v>
      </c>
      <c r="C22" s="78" t="s">
        <v>6</v>
      </c>
      <c r="D22" s="79">
        <v>682386.33866</v>
      </c>
      <c r="E22" s="79">
        <v>0</v>
      </c>
      <c r="F22" s="79">
        <v>378357.09088000003</v>
      </c>
      <c r="G22" s="79">
        <v>0</v>
      </c>
      <c r="H22" s="79">
        <v>378357.09088000003</v>
      </c>
      <c r="I22" s="79">
        <v>304029.24778</v>
      </c>
      <c r="J22" s="79">
        <v>635750.5649</v>
      </c>
      <c r="K22" s="79">
        <v>0</v>
      </c>
      <c r="L22" s="79">
        <v>344263.84682000004</v>
      </c>
      <c r="M22" s="79">
        <v>0</v>
      </c>
      <c r="N22" s="79">
        <v>344263.84682000004</v>
      </c>
      <c r="O22" s="79">
        <v>291486.71808</v>
      </c>
      <c r="P22" s="80">
        <f>P23+P24+P29</f>
        <v>0</v>
      </c>
    </row>
    <row r="23" spans="1:16" s="5" customFormat="1" ht="10.5" customHeight="1">
      <c r="A23" s="83" t="s">
        <v>20</v>
      </c>
      <c r="B23" s="77" t="s">
        <v>4</v>
      </c>
      <c r="C23" s="78" t="s">
        <v>16</v>
      </c>
      <c r="D23" s="81">
        <v>190236.37561</v>
      </c>
      <c r="E23" s="79"/>
      <c r="F23" s="81">
        <v>34311.87848</v>
      </c>
      <c r="G23" s="118"/>
      <c r="H23" s="79">
        <v>34311.87848</v>
      </c>
      <c r="I23" s="79">
        <v>155924.49712999997</v>
      </c>
      <c r="J23" s="79">
        <v>158164.3357</v>
      </c>
      <c r="K23" s="79">
        <v>0</v>
      </c>
      <c r="L23" s="79">
        <v>18619.821789999998</v>
      </c>
      <c r="M23" s="79">
        <v>0</v>
      </c>
      <c r="N23" s="79">
        <v>18619.821789999998</v>
      </c>
      <c r="O23" s="79">
        <v>139544.51391</v>
      </c>
      <c r="P23" s="85"/>
    </row>
    <row r="24" spans="1:16" s="5" customFormat="1" ht="33.75" customHeight="1">
      <c r="A24" s="83" t="s">
        <v>21</v>
      </c>
      <c r="B24" s="77" t="s">
        <v>4</v>
      </c>
      <c r="C24" s="78" t="s">
        <v>17</v>
      </c>
      <c r="D24" s="81">
        <v>343015.55059</v>
      </c>
      <c r="E24" s="79"/>
      <c r="F24" s="81">
        <v>343015.55059</v>
      </c>
      <c r="G24" s="118"/>
      <c r="H24" s="79">
        <v>343015.55059</v>
      </c>
      <c r="I24" s="79">
        <v>0</v>
      </c>
      <c r="J24" s="79">
        <v>324583.03564</v>
      </c>
      <c r="K24" s="79">
        <v>0</v>
      </c>
      <c r="L24" s="79">
        <v>324583.03564</v>
      </c>
      <c r="M24" s="79">
        <v>0</v>
      </c>
      <c r="N24" s="79">
        <v>324583.03564</v>
      </c>
      <c r="O24" s="79">
        <v>0</v>
      </c>
      <c r="P24" s="85"/>
    </row>
    <row r="25" spans="1:16" s="5" customFormat="1" ht="8.25" customHeight="1">
      <c r="A25" s="86" t="s">
        <v>70</v>
      </c>
      <c r="B25" s="77" t="s">
        <v>4</v>
      </c>
      <c r="C25" s="78"/>
      <c r="D25" s="92"/>
      <c r="E25" s="79"/>
      <c r="F25" s="81"/>
      <c r="G25" s="118"/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85"/>
    </row>
    <row r="26" spans="1:16" s="5" customFormat="1" ht="8.25" customHeight="1">
      <c r="A26" s="86" t="s">
        <v>71</v>
      </c>
      <c r="B26" s="77" t="s">
        <v>4</v>
      </c>
      <c r="C26" s="78"/>
      <c r="D26" s="81"/>
      <c r="E26" s="79"/>
      <c r="F26" s="81"/>
      <c r="G26" s="118"/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5"/>
    </row>
    <row r="27" spans="1:16" s="5" customFormat="1" ht="8.25" customHeight="1">
      <c r="A27" s="86" t="s">
        <v>72</v>
      </c>
      <c r="B27" s="77" t="s">
        <v>4</v>
      </c>
      <c r="C27" s="78"/>
      <c r="D27" s="81">
        <v>85753.88765</v>
      </c>
      <c r="E27" s="79"/>
      <c r="F27" s="81">
        <v>85753.88765</v>
      </c>
      <c r="G27" s="118"/>
      <c r="H27" s="79">
        <v>85753.88765</v>
      </c>
      <c r="I27" s="79">
        <v>0</v>
      </c>
      <c r="J27" s="79">
        <v>81145.75892</v>
      </c>
      <c r="K27" s="79">
        <v>0</v>
      </c>
      <c r="L27" s="79">
        <v>81145.75892</v>
      </c>
      <c r="M27" s="79">
        <v>0</v>
      </c>
      <c r="N27" s="79">
        <v>81145.75892</v>
      </c>
      <c r="O27" s="79">
        <v>0</v>
      </c>
      <c r="P27" s="85"/>
    </row>
    <row r="28" spans="1:16" s="5" customFormat="1" ht="8.25" customHeight="1">
      <c r="A28" s="86" t="s">
        <v>73</v>
      </c>
      <c r="B28" s="77" t="s">
        <v>4</v>
      </c>
      <c r="C28" s="78"/>
      <c r="D28" s="81">
        <v>257261.66294</v>
      </c>
      <c r="E28" s="79"/>
      <c r="F28" s="81">
        <v>257261.66294</v>
      </c>
      <c r="G28" s="118"/>
      <c r="H28" s="79">
        <v>257261.66294</v>
      </c>
      <c r="I28" s="79">
        <v>0</v>
      </c>
      <c r="J28" s="79">
        <v>243437.27672</v>
      </c>
      <c r="K28" s="79">
        <v>0</v>
      </c>
      <c r="L28" s="79">
        <v>243437.27672</v>
      </c>
      <c r="M28" s="79">
        <v>0</v>
      </c>
      <c r="N28" s="79">
        <v>243437.27672</v>
      </c>
      <c r="O28" s="79">
        <v>0</v>
      </c>
      <c r="P28" s="85"/>
    </row>
    <row r="29" spans="1:18" s="5" customFormat="1" ht="16.5" customHeight="1">
      <c r="A29" s="83" t="s">
        <v>22</v>
      </c>
      <c r="B29" s="77" t="s">
        <v>4</v>
      </c>
      <c r="C29" s="78" t="s">
        <v>18</v>
      </c>
      <c r="D29" s="81">
        <v>149134.41246</v>
      </c>
      <c r="E29" s="79"/>
      <c r="F29" s="81">
        <v>1029.66181</v>
      </c>
      <c r="G29" s="118"/>
      <c r="H29" s="79">
        <v>1029.66181</v>
      </c>
      <c r="I29" s="79">
        <v>148104.75065</v>
      </c>
      <c r="J29" s="79">
        <v>153003.19356</v>
      </c>
      <c r="K29" s="79">
        <v>0</v>
      </c>
      <c r="L29" s="79">
        <v>1060.98939</v>
      </c>
      <c r="M29" s="79">
        <v>0</v>
      </c>
      <c r="N29" s="79">
        <v>1060.98939</v>
      </c>
      <c r="O29" s="79">
        <v>151942.20417</v>
      </c>
      <c r="P29" s="85"/>
      <c r="Q29" s="58"/>
      <c r="R29" s="58"/>
    </row>
    <row r="30" spans="1:16" s="5" customFormat="1" ht="16.5" customHeight="1">
      <c r="A30" s="82" t="s">
        <v>74</v>
      </c>
      <c r="B30" s="77" t="s">
        <v>4</v>
      </c>
      <c r="C30" s="78" t="s">
        <v>7</v>
      </c>
      <c r="D30" s="81">
        <v>50842.56139999999</v>
      </c>
      <c r="E30" s="79">
        <v>0</v>
      </c>
      <c r="F30" s="79">
        <v>5454.31766</v>
      </c>
      <c r="G30" s="118">
        <v>0</v>
      </c>
      <c r="H30" s="79">
        <v>5454.31766</v>
      </c>
      <c r="I30" s="79">
        <v>45388.24373999999</v>
      </c>
      <c r="J30" s="79">
        <v>51336.7303</v>
      </c>
      <c r="K30" s="79">
        <v>0</v>
      </c>
      <c r="L30" s="79">
        <v>4093.3397800000002</v>
      </c>
      <c r="M30" s="79">
        <v>0</v>
      </c>
      <c r="N30" s="79">
        <v>4093.3397800000002</v>
      </c>
      <c r="O30" s="79">
        <v>47243.39052</v>
      </c>
      <c r="P30" s="80">
        <f>P31+P32+P33+P34</f>
        <v>0</v>
      </c>
    </row>
    <row r="31" spans="1:16" s="5" customFormat="1" ht="8.25" customHeight="1">
      <c r="A31" s="83" t="s">
        <v>35</v>
      </c>
      <c r="B31" s="77" t="s">
        <v>4</v>
      </c>
      <c r="C31" s="78" t="s">
        <v>75</v>
      </c>
      <c r="D31" s="81">
        <v>1859.78442</v>
      </c>
      <c r="E31" s="79"/>
      <c r="F31" s="81">
        <v>342.61297999999994</v>
      </c>
      <c r="G31" s="118"/>
      <c r="H31" s="79">
        <v>342.61297999999994</v>
      </c>
      <c r="I31" s="79">
        <v>1517.17144</v>
      </c>
      <c r="J31" s="79">
        <v>1286.24468</v>
      </c>
      <c r="K31" s="79">
        <v>0</v>
      </c>
      <c r="L31" s="79">
        <v>236.19399000000004</v>
      </c>
      <c r="M31" s="79">
        <v>0</v>
      </c>
      <c r="N31" s="79">
        <v>236.19399000000004</v>
      </c>
      <c r="O31" s="79">
        <v>1050.05069</v>
      </c>
      <c r="P31" s="85"/>
    </row>
    <row r="32" spans="1:16" s="5" customFormat="1" ht="8.25" customHeight="1">
      <c r="A32" s="83" t="s">
        <v>79</v>
      </c>
      <c r="B32" s="77" t="s">
        <v>4</v>
      </c>
      <c r="C32" s="78" t="s">
        <v>76</v>
      </c>
      <c r="D32" s="92"/>
      <c r="E32" s="79"/>
      <c r="F32" s="84"/>
      <c r="G32" s="118"/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85"/>
    </row>
    <row r="33" spans="1:16" s="5" customFormat="1" ht="16.5" customHeight="1">
      <c r="A33" s="83" t="s">
        <v>80</v>
      </c>
      <c r="B33" s="77" t="s">
        <v>4</v>
      </c>
      <c r="C33" s="78" t="s">
        <v>77</v>
      </c>
      <c r="D33" s="81"/>
      <c r="E33" s="79"/>
      <c r="F33" s="79"/>
      <c r="G33" s="118"/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85"/>
    </row>
    <row r="34" spans="1:16" s="5" customFormat="1" ht="16.5" customHeight="1">
      <c r="A34" s="83" t="s">
        <v>36</v>
      </c>
      <c r="B34" s="77" t="s">
        <v>4</v>
      </c>
      <c r="C34" s="78" t="s">
        <v>78</v>
      </c>
      <c r="D34" s="81">
        <v>48982.776979999995</v>
      </c>
      <c r="E34" s="79"/>
      <c r="F34" s="81">
        <v>5111.70468</v>
      </c>
      <c r="G34" s="118"/>
      <c r="H34" s="79">
        <v>5111.70468</v>
      </c>
      <c r="I34" s="79">
        <v>43871.07229999999</v>
      </c>
      <c r="J34" s="79">
        <v>50050.48562</v>
      </c>
      <c r="K34" s="79">
        <v>0</v>
      </c>
      <c r="L34" s="79">
        <v>3857.14579</v>
      </c>
      <c r="M34" s="79">
        <v>0</v>
      </c>
      <c r="N34" s="79">
        <v>3857.14579</v>
      </c>
      <c r="O34" s="79">
        <v>46193.33983</v>
      </c>
      <c r="P34" s="85"/>
    </row>
    <row r="35" spans="1:18" s="5" customFormat="1" ht="8.25" customHeight="1">
      <c r="A35" s="82" t="s">
        <v>23</v>
      </c>
      <c r="B35" s="77" t="s">
        <v>4</v>
      </c>
      <c r="C35" s="78" t="s">
        <v>8</v>
      </c>
      <c r="D35" s="81">
        <v>571621.77608</v>
      </c>
      <c r="E35" s="79"/>
      <c r="F35" s="81">
        <v>88614.78412</v>
      </c>
      <c r="G35" s="81">
        <v>3941.7190099999993</v>
      </c>
      <c r="H35" s="87">
        <v>92556.50313</v>
      </c>
      <c r="I35" s="87">
        <v>479065.27295</v>
      </c>
      <c r="J35" s="79">
        <v>534688.36139</v>
      </c>
      <c r="K35" s="79">
        <v>0</v>
      </c>
      <c r="L35" s="79">
        <v>78931.55483</v>
      </c>
      <c r="M35" s="79">
        <v>4789.4451</v>
      </c>
      <c r="N35" s="79">
        <v>83720.99992999999</v>
      </c>
      <c r="O35" s="79">
        <v>450967.36146000004</v>
      </c>
      <c r="P35" s="80">
        <f>P36+P37+P38</f>
        <v>0</v>
      </c>
      <c r="Q35" s="30"/>
      <c r="R35" s="30"/>
    </row>
    <row r="36" spans="1:18" s="5" customFormat="1" ht="8.25" customHeight="1">
      <c r="A36" s="83" t="s">
        <v>25</v>
      </c>
      <c r="B36" s="77" t="s">
        <v>4</v>
      </c>
      <c r="C36" s="78"/>
      <c r="D36" s="81">
        <v>93312.17146</v>
      </c>
      <c r="E36" s="79"/>
      <c r="F36" s="87">
        <v>14421.968030000002</v>
      </c>
      <c r="G36" s="81">
        <v>3941.7190099999993</v>
      </c>
      <c r="H36" s="87">
        <v>18363.68704</v>
      </c>
      <c r="I36" s="87">
        <v>74948.48442</v>
      </c>
      <c r="J36" s="79">
        <v>86379.56291000001</v>
      </c>
      <c r="K36" s="79">
        <v>0</v>
      </c>
      <c r="L36" s="79">
        <v>14464.716059999999</v>
      </c>
      <c r="M36" s="79">
        <v>4789.4451</v>
      </c>
      <c r="N36" s="79">
        <v>19254.16116</v>
      </c>
      <c r="O36" s="79">
        <v>67125.40175</v>
      </c>
      <c r="P36" s="85"/>
      <c r="Q36" s="30"/>
      <c r="R36" s="30"/>
    </row>
    <row r="37" spans="1:16" s="5" customFormat="1" ht="8.25" customHeight="1">
      <c r="A37" s="83" t="s">
        <v>83</v>
      </c>
      <c r="B37" s="77" t="s">
        <v>4</v>
      </c>
      <c r="C37" s="78"/>
      <c r="D37" s="81">
        <v>115697.8755</v>
      </c>
      <c r="E37" s="79"/>
      <c r="F37" s="87">
        <v>27615.364449999997</v>
      </c>
      <c r="G37" s="89"/>
      <c r="H37" s="87">
        <v>27615.364449999997</v>
      </c>
      <c r="I37" s="87">
        <v>88082.51105</v>
      </c>
      <c r="J37" s="79">
        <v>110195.25011000001</v>
      </c>
      <c r="K37" s="79">
        <v>0</v>
      </c>
      <c r="L37" s="79">
        <v>22470.58452</v>
      </c>
      <c r="M37" s="79">
        <v>0</v>
      </c>
      <c r="N37" s="79">
        <v>22470.58452</v>
      </c>
      <c r="O37" s="79">
        <v>87724.66559</v>
      </c>
      <c r="P37" s="85"/>
    </row>
    <row r="38" spans="1:16" s="5" customFormat="1" ht="8.25" customHeight="1">
      <c r="A38" s="83" t="s">
        <v>81</v>
      </c>
      <c r="B38" s="77" t="s">
        <v>4</v>
      </c>
      <c r="C38" s="78"/>
      <c r="D38" s="81">
        <v>362611.72912</v>
      </c>
      <c r="E38" s="79"/>
      <c r="F38" s="87">
        <v>46577.45164</v>
      </c>
      <c r="G38" s="89"/>
      <c r="H38" s="87">
        <v>46577.45164</v>
      </c>
      <c r="I38" s="87">
        <v>316034.27748</v>
      </c>
      <c r="J38" s="79">
        <v>338113.54837000003</v>
      </c>
      <c r="K38" s="79">
        <v>0</v>
      </c>
      <c r="L38" s="79">
        <v>41996.25425</v>
      </c>
      <c r="M38" s="79">
        <v>0</v>
      </c>
      <c r="N38" s="79">
        <v>41996.25425</v>
      </c>
      <c r="O38" s="79">
        <v>296117.29412000004</v>
      </c>
      <c r="P38" s="85"/>
    </row>
    <row r="39" spans="1:16" s="5" customFormat="1" ht="16.5" customHeight="1">
      <c r="A39" s="119" t="s">
        <v>82</v>
      </c>
      <c r="B39" s="111" t="s">
        <v>24</v>
      </c>
      <c r="C39" s="112"/>
      <c r="D39" s="97">
        <v>1154.6366666666663</v>
      </c>
      <c r="E39" s="79"/>
      <c r="F39" s="81">
        <v>159.976</v>
      </c>
      <c r="G39" s="81">
        <v>6.5</v>
      </c>
      <c r="H39" s="81">
        <v>166.476</v>
      </c>
      <c r="I39" s="87">
        <v>988.1606666666663</v>
      </c>
      <c r="J39" s="79">
        <v>1227.6</v>
      </c>
      <c r="K39" s="79">
        <v>0</v>
      </c>
      <c r="L39" s="79">
        <v>169.98</v>
      </c>
      <c r="M39" s="79">
        <v>7</v>
      </c>
      <c r="N39" s="79">
        <v>176.98</v>
      </c>
      <c r="O39" s="79">
        <v>1050.62</v>
      </c>
      <c r="P39" s="85"/>
    </row>
    <row r="40" spans="1:16" s="5" customFormat="1" ht="8.25" customHeight="1">
      <c r="A40" s="119" t="s">
        <v>25</v>
      </c>
      <c r="B40" s="111" t="s">
        <v>24</v>
      </c>
      <c r="C40" s="112"/>
      <c r="D40" s="97">
        <v>109.5375</v>
      </c>
      <c r="E40" s="79"/>
      <c r="F40" s="81">
        <v>21.5775</v>
      </c>
      <c r="G40" s="81">
        <v>6.5</v>
      </c>
      <c r="H40" s="81">
        <v>28.0775</v>
      </c>
      <c r="I40" s="87">
        <v>81.46</v>
      </c>
      <c r="J40" s="79">
        <v>113.66</v>
      </c>
      <c r="K40" s="79">
        <v>0</v>
      </c>
      <c r="L40" s="79">
        <v>22.93</v>
      </c>
      <c r="M40" s="79">
        <v>7</v>
      </c>
      <c r="N40" s="79">
        <v>29.93</v>
      </c>
      <c r="O40" s="79">
        <v>83.72999999999999</v>
      </c>
      <c r="P40" s="85"/>
    </row>
    <row r="41" spans="1:16" s="5" customFormat="1" ht="8.25" customHeight="1">
      <c r="A41" s="119" t="s">
        <v>83</v>
      </c>
      <c r="B41" s="111" t="s">
        <v>24</v>
      </c>
      <c r="C41" s="112"/>
      <c r="D41" s="97">
        <v>219.795</v>
      </c>
      <c r="E41" s="79"/>
      <c r="F41" s="81">
        <v>48.5725</v>
      </c>
      <c r="G41" s="81"/>
      <c r="H41" s="81">
        <v>48.5725</v>
      </c>
      <c r="I41" s="87">
        <v>171.2225</v>
      </c>
      <c r="J41" s="79">
        <v>243.44</v>
      </c>
      <c r="K41" s="79">
        <v>0</v>
      </c>
      <c r="L41" s="79">
        <v>48.3</v>
      </c>
      <c r="M41" s="79">
        <v>0</v>
      </c>
      <c r="N41" s="79">
        <v>48.3</v>
      </c>
      <c r="O41" s="79">
        <v>195.14</v>
      </c>
      <c r="P41" s="85"/>
    </row>
    <row r="42" spans="1:16" s="5" customFormat="1" ht="8.25" customHeight="1">
      <c r="A42" s="119" t="s">
        <v>81</v>
      </c>
      <c r="B42" s="111" t="s">
        <v>24</v>
      </c>
      <c r="C42" s="112"/>
      <c r="D42" s="97">
        <v>825.3041666666664</v>
      </c>
      <c r="E42" s="79"/>
      <c r="F42" s="81">
        <v>89.826</v>
      </c>
      <c r="G42" s="81"/>
      <c r="H42" s="81">
        <v>89.826</v>
      </c>
      <c r="I42" s="87">
        <v>735.4781666666664</v>
      </c>
      <c r="J42" s="79">
        <v>870.5</v>
      </c>
      <c r="K42" s="79">
        <v>0</v>
      </c>
      <c r="L42" s="79">
        <v>98.75</v>
      </c>
      <c r="M42" s="79">
        <v>0</v>
      </c>
      <c r="N42" s="79">
        <v>98.75</v>
      </c>
      <c r="O42" s="79">
        <v>771.75</v>
      </c>
      <c r="P42" s="85"/>
    </row>
    <row r="43" spans="1:19" s="5" customFormat="1" ht="50.25" customHeight="1">
      <c r="A43" s="82" t="s">
        <v>116</v>
      </c>
      <c r="B43" s="77" t="s">
        <v>4</v>
      </c>
      <c r="C43" s="78" t="s">
        <v>26</v>
      </c>
      <c r="D43" s="81">
        <v>171531.36881999997</v>
      </c>
      <c r="E43" s="79"/>
      <c r="F43" s="81">
        <v>26398.227130000003</v>
      </c>
      <c r="G43" s="81">
        <v>1169.4061000000002</v>
      </c>
      <c r="H43" s="87">
        <v>27567.633230000003</v>
      </c>
      <c r="I43" s="87">
        <v>143963.73558999997</v>
      </c>
      <c r="J43" s="79">
        <v>161058.22580000001</v>
      </c>
      <c r="K43" s="79">
        <v>0</v>
      </c>
      <c r="L43" s="79">
        <v>23714.25399</v>
      </c>
      <c r="M43" s="79">
        <v>1386.51914</v>
      </c>
      <c r="N43" s="79">
        <v>25100.77313</v>
      </c>
      <c r="O43" s="79">
        <v>135957.45267000003</v>
      </c>
      <c r="P43" s="85"/>
      <c r="S43" s="33"/>
    </row>
    <row r="44" spans="1:19" s="114" customFormat="1" ht="13.5" customHeight="1">
      <c r="A44" s="110" t="s">
        <v>84</v>
      </c>
      <c r="B44" s="111" t="s">
        <v>4</v>
      </c>
      <c r="C44" s="112" t="s">
        <v>27</v>
      </c>
      <c r="D44" s="81">
        <v>140825.51314</v>
      </c>
      <c r="E44" s="79"/>
      <c r="F44" s="81">
        <v>65749.60167</v>
      </c>
      <c r="G44" s="97">
        <v>10.144950000000001</v>
      </c>
      <c r="H44" s="81">
        <v>65759.74662</v>
      </c>
      <c r="I44" s="81">
        <v>75065.76651999999</v>
      </c>
      <c r="J44" s="81">
        <v>131515.52688000002</v>
      </c>
      <c r="K44" s="81">
        <v>0</v>
      </c>
      <c r="L44" s="81">
        <v>51776.98425999999</v>
      </c>
      <c r="M44" s="81">
        <v>69.04835</v>
      </c>
      <c r="N44" s="81">
        <v>51846.03260999999</v>
      </c>
      <c r="O44" s="81">
        <v>79669.49427000002</v>
      </c>
      <c r="P44" s="113"/>
      <c r="S44" s="115"/>
    </row>
    <row r="45" spans="1:19" s="5" customFormat="1" ht="8.25" customHeight="1">
      <c r="A45" s="82" t="s">
        <v>91</v>
      </c>
      <c r="B45" s="77" t="s">
        <v>4</v>
      </c>
      <c r="C45" s="78" t="s">
        <v>28</v>
      </c>
      <c r="D45" s="81">
        <v>153455.61348</v>
      </c>
      <c r="E45" s="79">
        <v>0</v>
      </c>
      <c r="F45" s="81">
        <v>26922.803730000003</v>
      </c>
      <c r="G45" s="80">
        <v>0</v>
      </c>
      <c r="H45" s="79">
        <v>26922.803730000003</v>
      </c>
      <c r="I45" s="79">
        <v>126532.80975</v>
      </c>
      <c r="J45" s="79">
        <v>144246.49203999998</v>
      </c>
      <c r="K45" s="79">
        <v>0</v>
      </c>
      <c r="L45" s="79">
        <v>25115.615640000004</v>
      </c>
      <c r="M45" s="79">
        <v>0</v>
      </c>
      <c r="N45" s="79">
        <v>25115.615640000004</v>
      </c>
      <c r="O45" s="79">
        <v>119130.87639999998</v>
      </c>
      <c r="P45" s="85">
        <f>P46+P47</f>
        <v>0</v>
      </c>
      <c r="S45" s="33"/>
    </row>
    <row r="46" spans="1:16" s="5" customFormat="1" ht="8.25" customHeight="1">
      <c r="A46" s="83" t="s">
        <v>92</v>
      </c>
      <c r="B46" s="77" t="s">
        <v>4</v>
      </c>
      <c r="C46" s="78" t="s">
        <v>85</v>
      </c>
      <c r="D46" s="81">
        <v>153455.61348</v>
      </c>
      <c r="E46" s="79"/>
      <c r="F46" s="79">
        <v>26922.803730000003</v>
      </c>
      <c r="G46" s="85"/>
      <c r="H46" s="79">
        <v>26922.803730000003</v>
      </c>
      <c r="I46" s="79">
        <v>126532.80975</v>
      </c>
      <c r="J46" s="79">
        <v>144246.49203999998</v>
      </c>
      <c r="K46" s="79">
        <v>0</v>
      </c>
      <c r="L46" s="79">
        <v>25115.615640000004</v>
      </c>
      <c r="M46" s="79">
        <v>0</v>
      </c>
      <c r="N46" s="79">
        <v>25115.615640000004</v>
      </c>
      <c r="O46" s="79">
        <v>119130.87639999998</v>
      </c>
      <c r="P46" s="85"/>
    </row>
    <row r="47" spans="1:16" s="5" customFormat="1" ht="8.25" customHeight="1">
      <c r="A47" s="83" t="s">
        <v>93</v>
      </c>
      <c r="B47" s="77" t="s">
        <v>4</v>
      </c>
      <c r="C47" s="78" t="s">
        <v>86</v>
      </c>
      <c r="D47" s="84"/>
      <c r="E47" s="79"/>
      <c r="F47" s="79"/>
      <c r="G47" s="80"/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85"/>
    </row>
    <row r="48" spans="1:16" s="5" customFormat="1" ht="16.5" customHeight="1">
      <c r="A48" s="82" t="s">
        <v>94</v>
      </c>
      <c r="B48" s="77" t="s">
        <v>4</v>
      </c>
      <c r="C48" s="78" t="s">
        <v>87</v>
      </c>
      <c r="D48" s="87">
        <v>35432.86404</v>
      </c>
      <c r="E48" s="79"/>
      <c r="F48" s="81">
        <v>12643.99322</v>
      </c>
      <c r="G48" s="87">
        <v>8.0109</v>
      </c>
      <c r="H48" s="79">
        <v>12652.00412</v>
      </c>
      <c r="I48" s="79">
        <v>22780.859920000003</v>
      </c>
      <c r="J48" s="79">
        <v>35023.37234</v>
      </c>
      <c r="K48" s="79">
        <v>0</v>
      </c>
      <c r="L48" s="79">
        <v>10720.78517</v>
      </c>
      <c r="M48" s="79">
        <v>40.40929</v>
      </c>
      <c r="N48" s="79">
        <v>10761.194459999999</v>
      </c>
      <c r="O48" s="79">
        <v>24262.177880000003</v>
      </c>
      <c r="P48" s="85"/>
    </row>
    <row r="49" spans="1:16" s="5" customFormat="1" ht="24" customHeight="1">
      <c r="A49" s="82" t="s">
        <v>95</v>
      </c>
      <c r="B49" s="77" t="s">
        <v>4</v>
      </c>
      <c r="C49" s="78" t="s">
        <v>88</v>
      </c>
      <c r="D49" s="87">
        <v>33654.140980000004</v>
      </c>
      <c r="E49" s="79"/>
      <c r="F49" s="81">
        <v>5031.11908</v>
      </c>
      <c r="G49" s="87">
        <v>66.68845</v>
      </c>
      <c r="H49" s="79">
        <v>5097.80753</v>
      </c>
      <c r="I49" s="79">
        <v>28556.333450000006</v>
      </c>
      <c r="J49" s="79">
        <v>51958.52071000001</v>
      </c>
      <c r="K49" s="79">
        <v>0</v>
      </c>
      <c r="L49" s="79">
        <v>6662.48278</v>
      </c>
      <c r="M49" s="79">
        <v>81.27683999999999</v>
      </c>
      <c r="N49" s="79">
        <v>6743.759620000001</v>
      </c>
      <c r="O49" s="79">
        <v>45214.761090000015</v>
      </c>
      <c r="P49" s="85"/>
    </row>
    <row r="50" spans="1:16" s="114" customFormat="1" ht="14.25" customHeight="1">
      <c r="A50" s="110" t="s">
        <v>90</v>
      </c>
      <c r="B50" s="111" t="s">
        <v>4</v>
      </c>
      <c r="C50" s="112" t="s">
        <v>89</v>
      </c>
      <c r="D50" s="81">
        <v>654152.5558699998</v>
      </c>
      <c r="E50" s="79"/>
      <c r="F50" s="81">
        <v>23863.90409</v>
      </c>
      <c r="G50" s="81">
        <v>993.10563</v>
      </c>
      <c r="H50" s="81">
        <v>24857.009720000002</v>
      </c>
      <c r="I50" s="81">
        <v>629295.5461499998</v>
      </c>
      <c r="J50" s="81">
        <v>2311117.946561534</v>
      </c>
      <c r="K50" s="81">
        <v>0</v>
      </c>
      <c r="L50" s="81">
        <v>24748.5002</v>
      </c>
      <c r="M50" s="81">
        <v>3054.5102</v>
      </c>
      <c r="N50" s="81">
        <v>27803.0104</v>
      </c>
      <c r="O50" s="81">
        <v>2283314.936161534</v>
      </c>
      <c r="P50" s="118"/>
    </row>
    <row r="51" spans="1:16" s="5" customFormat="1" ht="32.25" customHeight="1">
      <c r="A51" s="93" t="s">
        <v>96</v>
      </c>
      <c r="B51" s="94" t="s">
        <v>4</v>
      </c>
      <c r="C51" s="95" t="s">
        <v>29</v>
      </c>
      <c r="D51" s="79">
        <v>754767.4704899999</v>
      </c>
      <c r="E51" s="79">
        <v>0</v>
      </c>
      <c r="F51" s="79">
        <v>37657.380690000005</v>
      </c>
      <c r="G51" s="79">
        <v>104835.1262</v>
      </c>
      <c r="H51" s="79">
        <v>142492.50689000002</v>
      </c>
      <c r="I51" s="79">
        <v>612274.9635999999</v>
      </c>
      <c r="J51" s="79">
        <v>167517.34596846605</v>
      </c>
      <c r="K51" s="79">
        <v>0</v>
      </c>
      <c r="L51" s="79">
        <v>38869.142519999994</v>
      </c>
      <c r="M51" s="79">
        <v>134822.16644</v>
      </c>
      <c r="N51" s="79">
        <v>173691.30896</v>
      </c>
      <c r="O51" s="79">
        <v>-6173.962991533932</v>
      </c>
      <c r="P51" s="80">
        <f>P52+P53+P54+P55+P56</f>
        <v>0</v>
      </c>
    </row>
    <row r="52" spans="1:16" s="5" customFormat="1" ht="8.25" customHeight="1">
      <c r="A52" s="82" t="s">
        <v>97</v>
      </c>
      <c r="B52" s="77" t="s">
        <v>4</v>
      </c>
      <c r="C52" s="78" t="s">
        <v>30</v>
      </c>
      <c r="D52" s="79"/>
      <c r="E52" s="79"/>
      <c r="F52" s="79"/>
      <c r="G52" s="79"/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85"/>
    </row>
    <row r="53" spans="1:16" s="5" customFormat="1" ht="8.25" customHeight="1">
      <c r="A53" s="82" t="s">
        <v>37</v>
      </c>
      <c r="B53" s="77" t="s">
        <v>4</v>
      </c>
      <c r="C53" s="78" t="s">
        <v>98</v>
      </c>
      <c r="D53" s="90">
        <v>111985.23472000001</v>
      </c>
      <c r="E53" s="79"/>
      <c r="F53" s="87">
        <v>33672.95023</v>
      </c>
      <c r="G53" s="87">
        <v>78312.28449</v>
      </c>
      <c r="H53" s="81">
        <v>111985.23472000001</v>
      </c>
      <c r="I53" s="81">
        <v>0</v>
      </c>
      <c r="J53" s="79">
        <v>157503.057</v>
      </c>
      <c r="K53" s="79">
        <v>0</v>
      </c>
      <c r="L53" s="79">
        <v>37735.4218</v>
      </c>
      <c r="M53" s="79">
        <v>119767.6352</v>
      </c>
      <c r="N53" s="79">
        <v>157503.057</v>
      </c>
      <c r="O53" s="79">
        <v>0</v>
      </c>
      <c r="P53" s="85"/>
    </row>
    <row r="54" spans="1:16" s="5" customFormat="1" ht="8.25" customHeight="1">
      <c r="A54" s="82" t="s">
        <v>102</v>
      </c>
      <c r="B54" s="77" t="s">
        <v>4</v>
      </c>
      <c r="C54" s="78" t="s">
        <v>99</v>
      </c>
      <c r="D54" s="96"/>
      <c r="E54" s="79"/>
      <c r="F54" s="84"/>
      <c r="G54" s="88"/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85"/>
    </row>
    <row r="55" spans="1:16" s="5" customFormat="1" ht="8.25" customHeight="1">
      <c r="A55" s="82" t="s">
        <v>103</v>
      </c>
      <c r="B55" s="77" t="s">
        <v>4</v>
      </c>
      <c r="C55" s="78" t="s">
        <v>100</v>
      </c>
      <c r="D55" s="87">
        <v>5302.66481</v>
      </c>
      <c r="E55" s="79"/>
      <c r="F55" s="81">
        <v>715.4778699999999</v>
      </c>
      <c r="G55" s="91">
        <v>38.731640000000006</v>
      </c>
      <c r="H55" s="79">
        <v>754.2095099999999</v>
      </c>
      <c r="I55" s="79">
        <v>4548.4553000000005</v>
      </c>
      <c r="J55" s="79">
        <v>4171.36813</v>
      </c>
      <c r="K55" s="79">
        <v>0</v>
      </c>
      <c r="L55" s="79">
        <v>663.99784</v>
      </c>
      <c r="M55" s="79">
        <v>121.29103</v>
      </c>
      <c r="N55" s="79">
        <v>785.28887</v>
      </c>
      <c r="O55" s="79">
        <v>3386.07926</v>
      </c>
      <c r="P55" s="85"/>
    </row>
    <row r="56" spans="1:16" s="5" customFormat="1" ht="8.25" customHeight="1">
      <c r="A56" s="82" t="s">
        <v>104</v>
      </c>
      <c r="B56" s="77" t="s">
        <v>4</v>
      </c>
      <c r="C56" s="78" t="s">
        <v>101</v>
      </c>
      <c r="D56" s="87">
        <v>637479.5709599998</v>
      </c>
      <c r="E56" s="79"/>
      <c r="F56" s="81">
        <v>3268.9525900000003</v>
      </c>
      <c r="G56" s="79">
        <v>26484.110069999995</v>
      </c>
      <c r="H56" s="79">
        <v>29753.062659999996</v>
      </c>
      <c r="I56" s="79">
        <v>607726.5082999999</v>
      </c>
      <c r="J56" s="79">
        <v>5842.920838466067</v>
      </c>
      <c r="K56" s="79">
        <v>0</v>
      </c>
      <c r="L56" s="79">
        <v>469.72288000000003</v>
      </c>
      <c r="M56" s="79">
        <v>14933.24021</v>
      </c>
      <c r="N56" s="79">
        <v>15402.96309</v>
      </c>
      <c r="O56" s="79">
        <v>-9560.042251533932</v>
      </c>
      <c r="P56" s="80"/>
    </row>
    <row r="57" spans="1:22" s="5" customFormat="1" ht="8.25" customHeight="1">
      <c r="A57" s="76" t="s">
        <v>105</v>
      </c>
      <c r="B57" s="77" t="s">
        <v>4</v>
      </c>
      <c r="C57" s="78" t="s">
        <v>31</v>
      </c>
      <c r="D57" s="79">
        <v>84904.33899999999</v>
      </c>
      <c r="E57" s="79"/>
      <c r="F57" s="79">
        <v>3660.825290000009</v>
      </c>
      <c r="G57" s="79"/>
      <c r="H57" s="79">
        <v>3660.825290000009</v>
      </c>
      <c r="I57" s="79">
        <v>81243.51370999998</v>
      </c>
      <c r="J57" s="79">
        <v>75193.511</v>
      </c>
      <c r="K57" s="79">
        <v>0</v>
      </c>
      <c r="L57" s="79">
        <v>15577.975182500011</v>
      </c>
      <c r="M57" s="79">
        <v>4732.938717499998</v>
      </c>
      <c r="N57" s="79">
        <v>20310.91390000001</v>
      </c>
      <c r="O57" s="79">
        <v>54882.597099999984</v>
      </c>
      <c r="P57" s="85"/>
      <c r="Q57" s="33"/>
      <c r="R57" s="30"/>
      <c r="S57" s="30"/>
      <c r="T57" s="36"/>
      <c r="U57" s="33"/>
      <c r="V57" s="33"/>
    </row>
    <row r="58" spans="1:22" s="11" customFormat="1" ht="9.75">
      <c r="A58" s="98" t="s">
        <v>34</v>
      </c>
      <c r="B58" s="99"/>
      <c r="C58" s="99"/>
      <c r="D58" s="79"/>
      <c r="E58" s="79"/>
      <c r="F58" s="79"/>
      <c r="G58" s="79"/>
      <c r="H58" s="79"/>
      <c r="I58" s="79"/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100"/>
      <c r="Q58" s="35"/>
      <c r="R58" s="35"/>
      <c r="S58" s="35"/>
      <c r="T58" s="36"/>
      <c r="U58" s="36"/>
      <c r="V58" s="35"/>
    </row>
    <row r="59" spans="1:22" s="5" customFormat="1" ht="8.25" customHeight="1">
      <c r="A59" s="93" t="s">
        <v>41</v>
      </c>
      <c r="B59" s="94" t="s">
        <v>4</v>
      </c>
      <c r="C59" s="95" t="s">
        <v>32</v>
      </c>
      <c r="D59" s="79">
        <v>2290624.02933</v>
      </c>
      <c r="E59" s="79"/>
      <c r="F59" s="79">
        <v>602744.71819</v>
      </c>
      <c r="G59" s="79">
        <v>4545.449899999999</v>
      </c>
      <c r="H59" s="79">
        <v>607290.16809</v>
      </c>
      <c r="I59" s="79">
        <v>1683333.8612399998</v>
      </c>
      <c r="J59" s="79">
        <v>3863159.0793515337</v>
      </c>
      <c r="K59" s="79">
        <v>0</v>
      </c>
      <c r="L59" s="79">
        <v>541807.93181</v>
      </c>
      <c r="M59" s="79">
        <v>2260.6775800000014</v>
      </c>
      <c r="N59" s="79">
        <v>544068.60939</v>
      </c>
      <c r="O59" s="79">
        <v>3319090.469961534</v>
      </c>
      <c r="P59" s="85"/>
      <c r="R59" s="30"/>
      <c r="S59" s="30"/>
      <c r="T59" s="33"/>
      <c r="U59" s="30"/>
      <c r="V59" s="30"/>
    </row>
    <row r="60" spans="1:22" s="5" customFormat="1" ht="8.25" customHeight="1">
      <c r="A60" s="76" t="s">
        <v>42</v>
      </c>
      <c r="B60" s="77" t="s">
        <v>4</v>
      </c>
      <c r="C60" s="78" t="s">
        <v>33</v>
      </c>
      <c r="D60" s="79">
        <v>203278.70314</v>
      </c>
      <c r="E60" s="79"/>
      <c r="F60" s="79">
        <v>30291.12339</v>
      </c>
      <c r="G60" s="79">
        <v>1643.6251399999999</v>
      </c>
      <c r="H60" s="79">
        <v>31934.74853</v>
      </c>
      <c r="I60" s="79">
        <v>171343.95461</v>
      </c>
      <c r="J60" s="79">
        <v>193536.66157</v>
      </c>
      <c r="K60" s="79">
        <v>0</v>
      </c>
      <c r="L60" s="79">
        <v>28219.431660000002</v>
      </c>
      <c r="M60" s="79">
        <v>7160.53134</v>
      </c>
      <c r="N60" s="79">
        <v>35379.963</v>
      </c>
      <c r="O60" s="79">
        <v>158156.69857</v>
      </c>
      <c r="P60" s="85"/>
      <c r="U60" s="30"/>
      <c r="V60" s="30"/>
    </row>
    <row r="61" spans="1:16" s="5" customFormat="1" ht="34.5" customHeight="1">
      <c r="A61" s="76" t="s">
        <v>59</v>
      </c>
      <c r="B61" s="77" t="s">
        <v>4</v>
      </c>
      <c r="C61" s="78" t="s">
        <v>38</v>
      </c>
      <c r="D61" s="79"/>
      <c r="E61" s="79"/>
      <c r="F61" s="79"/>
      <c r="G61" s="79"/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85"/>
    </row>
    <row r="62" spans="1:16" s="5" customFormat="1" ht="16.5" customHeight="1">
      <c r="A62" s="101" t="s">
        <v>115</v>
      </c>
      <c r="B62" s="94" t="s">
        <v>4</v>
      </c>
      <c r="C62" s="95" t="s">
        <v>39</v>
      </c>
      <c r="D62" s="79">
        <v>257729.55038</v>
      </c>
      <c r="E62" s="79">
        <v>0</v>
      </c>
      <c r="F62" s="79">
        <v>31869.742259999995</v>
      </c>
      <c r="G62" s="80">
        <v>0</v>
      </c>
      <c r="H62" s="79">
        <v>31869.742259999995</v>
      </c>
      <c r="I62" s="79">
        <v>225859.80812</v>
      </c>
      <c r="J62" s="79">
        <v>249127.49812999996</v>
      </c>
      <c r="K62" s="79">
        <v>0</v>
      </c>
      <c r="L62" s="79">
        <v>28094.08222</v>
      </c>
      <c r="M62" s="79">
        <v>0</v>
      </c>
      <c r="N62" s="79">
        <v>28094.08222</v>
      </c>
      <c r="O62" s="79">
        <v>221033.41590999998</v>
      </c>
      <c r="P62" s="80">
        <f>P63+P64+P65+P66</f>
        <v>0</v>
      </c>
    </row>
    <row r="63" spans="1:16" s="5" customFormat="1" ht="7.5" customHeight="1">
      <c r="A63" s="82" t="s">
        <v>44</v>
      </c>
      <c r="B63" s="77" t="s">
        <v>4</v>
      </c>
      <c r="C63" s="78"/>
      <c r="D63" s="79">
        <v>79288.55865</v>
      </c>
      <c r="E63" s="79"/>
      <c r="F63" s="79">
        <v>12836.72632</v>
      </c>
      <c r="G63" s="85"/>
      <c r="H63" s="79">
        <v>12836.72632</v>
      </c>
      <c r="I63" s="79">
        <v>66451.83233</v>
      </c>
      <c r="J63" s="79">
        <v>87100.14221999998</v>
      </c>
      <c r="K63" s="79">
        <v>0</v>
      </c>
      <c r="L63" s="79">
        <v>10347.50513</v>
      </c>
      <c r="M63" s="79">
        <v>0</v>
      </c>
      <c r="N63" s="79">
        <v>10347.50513</v>
      </c>
      <c r="O63" s="79">
        <v>76752.63708999997</v>
      </c>
      <c r="P63" s="85"/>
    </row>
    <row r="64" spans="1:16" s="5" customFormat="1" ht="8.25" customHeight="1">
      <c r="A64" s="82" t="s">
        <v>114</v>
      </c>
      <c r="B64" s="77" t="s">
        <v>4</v>
      </c>
      <c r="C64" s="78"/>
      <c r="D64" s="79">
        <v>129458.21474999998</v>
      </c>
      <c r="E64" s="79"/>
      <c r="F64" s="79">
        <v>13921.311259999999</v>
      </c>
      <c r="G64" s="85"/>
      <c r="H64" s="79">
        <v>13921.311259999999</v>
      </c>
      <c r="I64" s="79">
        <v>115536.90348999998</v>
      </c>
      <c r="J64" s="79">
        <v>111976.87028999999</v>
      </c>
      <c r="K64" s="79">
        <v>0</v>
      </c>
      <c r="L64" s="79">
        <v>13889.4313</v>
      </c>
      <c r="M64" s="79">
        <v>0</v>
      </c>
      <c r="N64" s="79">
        <v>13889.4313</v>
      </c>
      <c r="O64" s="79">
        <v>98087.43899</v>
      </c>
      <c r="P64" s="85"/>
    </row>
    <row r="65" spans="1:16" s="5" customFormat="1" ht="16.5" customHeight="1">
      <c r="A65" s="82" t="s">
        <v>45</v>
      </c>
      <c r="B65" s="77" t="s">
        <v>4</v>
      </c>
      <c r="C65" s="78"/>
      <c r="D65" s="79">
        <v>48982.776979999995</v>
      </c>
      <c r="E65" s="79"/>
      <c r="F65" s="79">
        <v>5111.70468</v>
      </c>
      <c r="G65" s="85"/>
      <c r="H65" s="79">
        <v>5111.70468</v>
      </c>
      <c r="I65" s="79">
        <v>43871.07229999999</v>
      </c>
      <c r="J65" s="79">
        <v>50050.48562</v>
      </c>
      <c r="K65" s="79">
        <v>0</v>
      </c>
      <c r="L65" s="79">
        <v>3857.14579</v>
      </c>
      <c r="M65" s="79">
        <v>0</v>
      </c>
      <c r="N65" s="79">
        <v>3857.14579</v>
      </c>
      <c r="O65" s="79">
        <v>46193.33983</v>
      </c>
      <c r="P65" s="85"/>
    </row>
    <row r="66" spans="1:16" s="5" customFormat="1" ht="12" customHeight="1">
      <c r="A66" s="82" t="s">
        <v>46</v>
      </c>
      <c r="B66" s="77" t="s">
        <v>4</v>
      </c>
      <c r="C66" s="78"/>
      <c r="D66" s="79"/>
      <c r="E66" s="79"/>
      <c r="F66" s="79"/>
      <c r="G66" s="79"/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102"/>
    </row>
    <row r="67" spans="1:16" s="5" customFormat="1" ht="24.75" customHeight="1">
      <c r="A67" s="82" t="s">
        <v>107</v>
      </c>
      <c r="B67" s="77" t="s">
        <v>4</v>
      </c>
      <c r="C67" s="78" t="s">
        <v>40</v>
      </c>
      <c r="D67" s="79"/>
      <c r="E67" s="79"/>
      <c r="F67" s="79"/>
      <c r="G67" s="79"/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102"/>
    </row>
    <row r="68" ht="3" customHeight="1"/>
    <row r="69" spans="1:13" s="8" customFormat="1" ht="14.25" customHeight="1">
      <c r="A69" s="15" t="s">
        <v>122</v>
      </c>
      <c r="D69" s="72"/>
      <c r="E69" s="109"/>
      <c r="F69" s="72"/>
      <c r="G69" s="72"/>
      <c r="J69" s="72"/>
      <c r="L69" s="72"/>
      <c r="M69" s="72"/>
    </row>
    <row r="70" s="2" customFormat="1" ht="7.5" customHeight="1">
      <c r="A70" s="14" t="s">
        <v>123</v>
      </c>
    </row>
    <row r="71" spans="1:7" s="2" customFormat="1" ht="7.5" customHeight="1">
      <c r="A71" s="14" t="s">
        <v>124</v>
      </c>
      <c r="E71" s="108"/>
      <c r="F71" s="120"/>
      <c r="G71" s="117"/>
    </row>
    <row r="72" s="8" customFormat="1" ht="8.25" customHeight="1">
      <c r="A72" s="15" t="s">
        <v>125</v>
      </c>
    </row>
    <row r="73" spans="1:6" s="8" customFormat="1" ht="9" customHeight="1">
      <c r="A73" s="12"/>
      <c r="D73" s="107"/>
      <c r="E73" s="107"/>
      <c r="F73" s="107"/>
    </row>
    <row r="74" spans="1:16" s="13" customFormat="1" ht="7.5" customHeight="1">
      <c r="A74" s="132" t="s">
        <v>50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1:16" s="9" customFormat="1" ht="9" customHeight="1">
      <c r="A75" s="138" t="s">
        <v>0</v>
      </c>
      <c r="B75" s="138" t="s">
        <v>1</v>
      </c>
      <c r="C75" s="138" t="s">
        <v>2</v>
      </c>
      <c r="D75" s="138" t="s">
        <v>113</v>
      </c>
      <c r="E75" s="138" t="s">
        <v>121</v>
      </c>
      <c r="F75" s="138" t="s">
        <v>117</v>
      </c>
      <c r="G75" s="138"/>
      <c r="H75" s="138"/>
      <c r="I75" s="138"/>
      <c r="J75" s="138" t="s">
        <v>132</v>
      </c>
      <c r="K75" s="138" t="s">
        <v>120</v>
      </c>
      <c r="L75" s="138" t="s">
        <v>118</v>
      </c>
      <c r="M75" s="138"/>
      <c r="N75" s="138"/>
      <c r="O75" s="138"/>
      <c r="P75" s="138" t="s">
        <v>106</v>
      </c>
    </row>
    <row r="76" spans="1:16" s="9" customFormat="1" ht="77.25" customHeight="1">
      <c r="A76" s="138"/>
      <c r="B76" s="138"/>
      <c r="C76" s="138"/>
      <c r="D76" s="138"/>
      <c r="E76" s="138"/>
      <c r="F76" s="103" t="s">
        <v>133</v>
      </c>
      <c r="G76" s="103" t="s">
        <v>131</v>
      </c>
      <c r="H76" s="103" t="s">
        <v>134</v>
      </c>
      <c r="I76" s="103" t="s">
        <v>135</v>
      </c>
      <c r="J76" s="138"/>
      <c r="K76" s="138"/>
      <c r="L76" s="103" t="s">
        <v>133</v>
      </c>
      <c r="M76" s="103" t="s">
        <v>131</v>
      </c>
      <c r="N76" s="103" t="s">
        <v>136</v>
      </c>
      <c r="O76" s="103" t="s">
        <v>135</v>
      </c>
      <c r="P76" s="138"/>
    </row>
    <row r="77" spans="1:16" s="10" customFormat="1" ht="18.75" customHeight="1">
      <c r="A77" s="74">
        <v>1</v>
      </c>
      <c r="B77" s="74">
        <v>2</v>
      </c>
      <c r="C77" s="74">
        <v>3</v>
      </c>
      <c r="D77" s="74">
        <v>4</v>
      </c>
      <c r="E77" s="74">
        <v>5</v>
      </c>
      <c r="F77" s="74">
        <v>6</v>
      </c>
      <c r="G77" s="74">
        <v>7</v>
      </c>
      <c r="H77" s="75" t="s">
        <v>112</v>
      </c>
      <c r="I77" s="74">
        <v>9</v>
      </c>
      <c r="J77" s="74">
        <v>10</v>
      </c>
      <c r="K77" s="74">
        <v>11</v>
      </c>
      <c r="L77" s="74">
        <v>12</v>
      </c>
      <c r="M77" s="74">
        <v>13</v>
      </c>
      <c r="N77" s="75" t="s">
        <v>67</v>
      </c>
      <c r="O77" s="74">
        <v>15</v>
      </c>
      <c r="P77" s="74">
        <v>16</v>
      </c>
    </row>
    <row r="78" spans="1:16" s="5" customFormat="1" ht="11.25" customHeight="1">
      <c r="A78" s="76" t="s">
        <v>54</v>
      </c>
      <c r="B78" s="77" t="s">
        <v>4</v>
      </c>
      <c r="C78" s="78" t="s">
        <v>43</v>
      </c>
      <c r="D78" s="104">
        <v>788883.82744</v>
      </c>
      <c r="E78" s="77"/>
      <c r="F78" s="77" t="s">
        <v>49</v>
      </c>
      <c r="G78" s="77" t="s">
        <v>49</v>
      </c>
      <c r="H78" s="77" t="s">
        <v>49</v>
      </c>
      <c r="I78" s="77" t="s">
        <v>49</v>
      </c>
      <c r="J78" s="104">
        <v>427187.6406</v>
      </c>
      <c r="K78" s="77"/>
      <c r="L78" s="77" t="s">
        <v>49</v>
      </c>
      <c r="M78" s="77" t="s">
        <v>49</v>
      </c>
      <c r="N78" s="77" t="s">
        <v>49</v>
      </c>
      <c r="O78" s="77" t="s">
        <v>49</v>
      </c>
      <c r="P78" s="77"/>
    </row>
    <row r="79" spans="1:16" s="5" customFormat="1" ht="16.5">
      <c r="A79" s="82" t="s">
        <v>55</v>
      </c>
      <c r="B79" s="77" t="s">
        <v>4</v>
      </c>
      <c r="C79" s="78" t="s">
        <v>19</v>
      </c>
      <c r="D79" s="77" t="s">
        <v>49</v>
      </c>
      <c r="E79" s="77" t="s">
        <v>49</v>
      </c>
      <c r="F79" s="104">
        <v>51552.29603</v>
      </c>
      <c r="G79" s="106"/>
      <c r="H79" s="77" t="s">
        <v>49</v>
      </c>
      <c r="I79" s="77" t="s">
        <v>49</v>
      </c>
      <c r="J79" s="77" t="s">
        <v>49</v>
      </c>
      <c r="K79" s="77" t="s">
        <v>49</v>
      </c>
      <c r="L79" s="104">
        <v>52591.884849999915</v>
      </c>
      <c r="M79" s="106"/>
      <c r="N79" s="77" t="s">
        <v>49</v>
      </c>
      <c r="O79" s="77" t="s">
        <v>49</v>
      </c>
      <c r="P79" s="77"/>
    </row>
    <row r="80" spans="1:16" s="5" customFormat="1" ht="36" customHeight="1">
      <c r="A80" s="76" t="s">
        <v>109</v>
      </c>
      <c r="B80" s="77" t="s">
        <v>4</v>
      </c>
      <c r="C80" s="78" t="s">
        <v>47</v>
      </c>
      <c r="D80" s="77" t="s">
        <v>49</v>
      </c>
      <c r="E80" s="77" t="s">
        <v>49</v>
      </c>
      <c r="F80" s="77">
        <v>0</v>
      </c>
      <c r="G80" s="77">
        <v>0</v>
      </c>
      <c r="H80" s="77" t="s">
        <v>49</v>
      </c>
      <c r="I80" s="77" t="s">
        <v>49</v>
      </c>
      <c r="J80" s="77" t="s">
        <v>49</v>
      </c>
      <c r="K80" s="77" t="s">
        <v>49</v>
      </c>
      <c r="L80" s="77"/>
      <c r="M80" s="77"/>
      <c r="N80" s="77" t="s">
        <v>49</v>
      </c>
      <c r="O80" s="77" t="s">
        <v>49</v>
      </c>
      <c r="P80" s="77"/>
    </row>
    <row r="81" spans="1:16" s="5" customFormat="1" ht="35.25" customHeight="1">
      <c r="A81" s="76" t="s">
        <v>110</v>
      </c>
      <c r="B81" s="77" t="s">
        <v>4</v>
      </c>
      <c r="C81" s="78" t="s">
        <v>48</v>
      </c>
      <c r="D81" s="77" t="s">
        <v>49</v>
      </c>
      <c r="E81" s="77" t="s">
        <v>49</v>
      </c>
      <c r="F81" s="77">
        <v>0</v>
      </c>
      <c r="G81" s="77"/>
      <c r="H81" s="77" t="s">
        <v>49</v>
      </c>
      <c r="I81" s="77" t="s">
        <v>49</v>
      </c>
      <c r="J81" s="77" t="s">
        <v>49</v>
      </c>
      <c r="K81" s="77" t="s">
        <v>49</v>
      </c>
      <c r="L81" s="77"/>
      <c r="M81" s="77"/>
      <c r="N81" s="77" t="s">
        <v>49</v>
      </c>
      <c r="O81" s="77" t="s">
        <v>49</v>
      </c>
      <c r="P81" s="77"/>
    </row>
    <row r="82" spans="1:16" s="5" customFormat="1" ht="9.75" customHeight="1">
      <c r="A82" s="76" t="s">
        <v>56</v>
      </c>
      <c r="B82" s="77" t="s">
        <v>4</v>
      </c>
      <c r="C82" s="78" t="s">
        <v>51</v>
      </c>
      <c r="D82" s="104">
        <v>1578856.85584</v>
      </c>
      <c r="E82" s="77"/>
      <c r="F82" s="77" t="s">
        <v>49</v>
      </c>
      <c r="G82" s="77" t="s">
        <v>49</v>
      </c>
      <c r="H82" s="104">
        <v>847787.9856</v>
      </c>
      <c r="I82" s="105">
        <v>731068.8702400001</v>
      </c>
      <c r="J82" s="104">
        <v>2085349.5613900002</v>
      </c>
      <c r="K82" s="77"/>
      <c r="L82" s="77" t="s">
        <v>49</v>
      </c>
      <c r="M82" s="77" t="s">
        <v>49</v>
      </c>
      <c r="N82" s="121">
        <v>907197.6475999999</v>
      </c>
      <c r="O82" s="105">
        <v>1178151.9137900001</v>
      </c>
      <c r="P82" s="77"/>
    </row>
    <row r="83" spans="1:16" s="5" customFormat="1" ht="9.75" customHeight="1">
      <c r="A83" s="76" t="s">
        <v>111</v>
      </c>
      <c r="B83" s="77" t="s">
        <v>4</v>
      </c>
      <c r="C83" s="78" t="s">
        <v>52</v>
      </c>
      <c r="D83" s="77"/>
      <c r="E83" s="77"/>
      <c r="F83" s="77" t="s">
        <v>49</v>
      </c>
      <c r="G83" s="77" t="s">
        <v>49</v>
      </c>
      <c r="H83" s="77"/>
      <c r="I83" s="77"/>
      <c r="J83" s="77"/>
      <c r="K83" s="77"/>
      <c r="L83" s="77" t="s">
        <v>49</v>
      </c>
      <c r="M83" s="77" t="s">
        <v>49</v>
      </c>
      <c r="N83" s="77"/>
      <c r="O83" s="77"/>
      <c r="P83" s="77"/>
    </row>
    <row r="84" spans="1:16" s="5" customFormat="1" ht="10.5" customHeight="1">
      <c r="A84" s="76" t="s">
        <v>57</v>
      </c>
      <c r="B84" s="77" t="s">
        <v>4</v>
      </c>
      <c r="C84" s="78" t="s">
        <v>53</v>
      </c>
      <c r="D84" s="77"/>
      <c r="E84" s="77"/>
      <c r="F84" s="77" t="s">
        <v>49</v>
      </c>
      <c r="G84" s="77" t="s">
        <v>49</v>
      </c>
      <c r="H84" s="77"/>
      <c r="I84" s="77"/>
      <c r="J84" s="77"/>
      <c r="K84" s="77"/>
      <c r="L84" s="77" t="s">
        <v>49</v>
      </c>
      <c r="M84" s="77" t="s">
        <v>49</v>
      </c>
      <c r="N84" s="77"/>
      <c r="O84" s="77"/>
      <c r="P84" s="77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="2" customFormat="1" ht="7.5" customHeight="1">
      <c r="A88" s="14" t="s">
        <v>124</v>
      </c>
    </row>
    <row r="89" s="2" customFormat="1" ht="8.25"/>
    <row r="90" spans="1:16" s="4" customFormat="1" ht="13.5" customHeight="1">
      <c r="A90" s="4" t="s">
        <v>140</v>
      </c>
      <c r="L90" s="136"/>
      <c r="M90" s="136"/>
      <c r="N90" s="136"/>
      <c r="P90" s="43" t="s">
        <v>141</v>
      </c>
    </row>
    <row r="91" spans="12:16" s="2" customFormat="1" ht="7.5" customHeight="1">
      <c r="L91" s="137" t="s">
        <v>58</v>
      </c>
      <c r="M91" s="137"/>
      <c r="N91" s="137"/>
      <c r="P91" s="44"/>
    </row>
    <row r="92" spans="1:16" s="4" customFormat="1" ht="9" customHeight="1">
      <c r="A92" s="4" t="s">
        <v>139</v>
      </c>
      <c r="L92" s="136"/>
      <c r="M92" s="136"/>
      <c r="N92" s="136"/>
      <c r="P92" s="43" t="s">
        <v>142</v>
      </c>
    </row>
    <row r="93" spans="12:16" s="2" customFormat="1" ht="8.25" customHeight="1">
      <c r="L93" s="137" t="s">
        <v>58</v>
      </c>
      <c r="M93" s="137"/>
      <c r="N93" s="137"/>
      <c r="P93" s="19"/>
    </row>
    <row r="94" ht="3" customHeight="1"/>
    <row r="96" spans="10:16" ht="12.75">
      <c r="J96" s="56"/>
      <c r="K96" s="56"/>
      <c r="L96" s="56"/>
      <c r="M96" s="56"/>
      <c r="N96" s="56"/>
      <c r="O96" s="56"/>
      <c r="P96" s="56"/>
    </row>
  </sheetData>
  <sheetProtection/>
  <mergeCells count="32">
    <mergeCell ref="L75:O75"/>
    <mergeCell ref="P75:P76"/>
    <mergeCell ref="L90:N90"/>
    <mergeCell ref="L91:N91"/>
    <mergeCell ref="L92:N92"/>
    <mergeCell ref="L93:N93"/>
    <mergeCell ref="P18:P19"/>
    <mergeCell ref="A74:P74"/>
    <mergeCell ref="A75:A76"/>
    <mergeCell ref="B75:B76"/>
    <mergeCell ref="C75:C76"/>
    <mergeCell ref="D75:D76"/>
    <mergeCell ref="E75:E76"/>
    <mergeCell ref="F75:I75"/>
    <mergeCell ref="J75:J76"/>
    <mergeCell ref="K75:K76"/>
    <mergeCell ref="L15:P15"/>
    <mergeCell ref="A18:A19"/>
    <mergeCell ref="B18:B19"/>
    <mergeCell ref="C18:C19"/>
    <mergeCell ref="D18:D19"/>
    <mergeCell ref="E18:E19"/>
    <mergeCell ref="F18:I18"/>
    <mergeCell ref="J18:J19"/>
    <mergeCell ref="K18:K19"/>
    <mergeCell ref="L18:O18"/>
    <mergeCell ref="A3:P3"/>
    <mergeCell ref="A4:P4"/>
    <mergeCell ref="L11:P11"/>
    <mergeCell ref="L12:P12"/>
    <mergeCell ref="L13:P13"/>
    <mergeCell ref="L14:P14"/>
  </mergeCells>
  <printOptions/>
  <pageMargins left="0.15748031496062992" right="0.15748031496062992" top="0.15748031496062992" bottom="0.15748031496062992" header="0.1968503937007874" footer="0.1968503937007874"/>
  <pageSetup fitToHeight="2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a.smakula</cp:lastModifiedBy>
  <cp:lastPrinted>2022-03-31T07:39:14Z</cp:lastPrinted>
  <dcterms:created xsi:type="dcterms:W3CDTF">2008-10-01T13:21:49Z</dcterms:created>
  <dcterms:modified xsi:type="dcterms:W3CDTF">2022-03-31T07:47:21Z</dcterms:modified>
  <cp:category/>
  <cp:version/>
  <cp:contentType/>
  <cp:contentStatus/>
</cp:coreProperties>
</file>